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 filterPrivacy="1"/>
  <xr:revisionPtr revIDLastSave="0" documentId="13_ncr:1_{5997DC70-34ED-0645-9FC1-925DC71734FF}" xr6:coauthVersionLast="40" xr6:coauthVersionMax="40" xr10:uidLastSave="{00000000-0000-0000-0000-000000000000}"/>
  <bookViews>
    <workbookView xWindow="0" yWindow="0" windowWidth="40960" windowHeight="23040" activeTab="4" xr2:uid="{00000000-000D-0000-FFFF-FFFF00000000}"/>
  </bookViews>
  <sheets>
    <sheet name="COMPTE DE RESULTAT" sheetId="1" r:id="rId1"/>
    <sheet name="Ventes - product mix" sheetId="2" r:id="rId2"/>
    <sheet name="Cout de production" sheetId="3" r:id="rId3"/>
    <sheet name="charge du personnel" sheetId="4" r:id="rId4"/>
    <sheet name="charges de structure" sheetId="5" r:id="rId5"/>
    <sheet name="Investissements" sheetId="8" r:id="rId6"/>
    <sheet name="BILAN" sheetId="7" r:id="rId7"/>
    <sheet name="Tableau des emplois ressources" sheetId="11" r:id="rId8"/>
    <sheet name="financement" sheetId="6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F74" i="1"/>
  <c r="E74" i="1"/>
  <c r="D74" i="1"/>
  <c r="C74" i="1"/>
  <c r="B74" i="1"/>
  <c r="F73" i="1"/>
  <c r="D73" i="1"/>
  <c r="B73" i="1"/>
  <c r="F72" i="1"/>
  <c r="D72" i="1"/>
  <c r="B72" i="1"/>
  <c r="F71" i="1"/>
  <c r="D71" i="1"/>
  <c r="B71" i="1"/>
  <c r="F70" i="1"/>
  <c r="D70" i="1"/>
  <c r="B70" i="1"/>
  <c r="F69" i="1"/>
  <c r="D69" i="1"/>
  <c r="B69" i="1"/>
  <c r="F68" i="1"/>
  <c r="D68" i="1"/>
  <c r="B68" i="1"/>
  <c r="F60" i="1"/>
  <c r="D60" i="1"/>
  <c r="B60" i="1"/>
  <c r="F59" i="1"/>
  <c r="D59" i="1"/>
  <c r="B59" i="1"/>
  <c r="F58" i="1"/>
  <c r="D58" i="1"/>
  <c r="B58" i="1"/>
  <c r="F57" i="1"/>
  <c r="D57" i="1"/>
  <c r="B57" i="1"/>
  <c r="F56" i="1"/>
  <c r="D56" i="1"/>
  <c r="B56" i="1"/>
  <c r="F55" i="1"/>
  <c r="D55" i="1"/>
  <c r="B55" i="1"/>
  <c r="F54" i="1"/>
  <c r="B54" i="1"/>
  <c r="D54" i="1"/>
  <c r="G28" i="4"/>
  <c r="E28" i="4"/>
  <c r="C28" i="4"/>
  <c r="G27" i="4"/>
  <c r="E27" i="4"/>
  <c r="C27" i="4"/>
  <c r="G26" i="4"/>
  <c r="E26" i="4"/>
  <c r="C26" i="4"/>
  <c r="G25" i="4"/>
  <c r="E25" i="4"/>
  <c r="C25" i="4"/>
  <c r="G24" i="4"/>
  <c r="E24" i="4"/>
  <c r="C24" i="4"/>
  <c r="G23" i="4"/>
  <c r="C23" i="4"/>
  <c r="C22" i="4"/>
  <c r="E23" i="4"/>
  <c r="E22" i="4"/>
  <c r="B8" i="7" l="1"/>
  <c r="C8" i="7"/>
  <c r="D8" i="7"/>
  <c r="E8" i="8"/>
  <c r="B13" i="11"/>
  <c r="C13" i="11"/>
  <c r="C14" i="11"/>
  <c r="G28" i="6"/>
  <c r="I14" i="7" s="1"/>
  <c r="G12" i="6"/>
  <c r="G20" i="6"/>
  <c r="H14" i="7"/>
  <c r="G14" i="7"/>
  <c r="H20" i="6"/>
  <c r="H12" i="6"/>
  <c r="F13" i="5" l="1"/>
  <c r="D13" i="5"/>
  <c r="I21" i="7"/>
  <c r="H21" i="7"/>
  <c r="G21" i="7"/>
  <c r="AM70" i="2"/>
  <c r="AM69" i="2"/>
  <c r="Z68" i="2"/>
  <c r="Z70" i="2"/>
  <c r="M70" i="2"/>
  <c r="M68" i="2"/>
  <c r="M69" i="2"/>
  <c r="Z69" i="2"/>
  <c r="B21" i="7"/>
  <c r="D11" i="7"/>
  <c r="C11" i="7"/>
  <c r="D10" i="7"/>
  <c r="C10" i="7"/>
  <c r="F34" i="1"/>
  <c r="F35" i="1"/>
  <c r="D34" i="1"/>
  <c r="D35" i="1"/>
  <c r="D36" i="1"/>
  <c r="B34" i="1"/>
  <c r="B35" i="1"/>
  <c r="F82" i="1"/>
  <c r="D82" i="1"/>
  <c r="G24" i="8"/>
  <c r="B82" i="1"/>
  <c r="B81" i="1"/>
  <c r="G9" i="8"/>
  <c r="E7" i="8"/>
  <c r="B23" i="8" s="1"/>
  <c r="E9" i="8"/>
  <c r="C7" i="8"/>
  <c r="B7" i="8"/>
  <c r="E12" i="8"/>
  <c r="E13" i="8"/>
  <c r="E14" i="8"/>
  <c r="E15" i="8"/>
  <c r="E16" i="8"/>
  <c r="E17" i="8"/>
  <c r="E18" i="8"/>
  <c r="E11" i="8"/>
  <c r="G12" i="8"/>
  <c r="G13" i="8"/>
  <c r="G14" i="8"/>
  <c r="G15" i="8"/>
  <c r="G16" i="8"/>
  <c r="G17" i="8"/>
  <c r="G18" i="8"/>
  <c r="G11" i="8"/>
  <c r="B80" i="1" l="1"/>
  <c r="G23" i="8"/>
  <c r="E23" i="8"/>
  <c r="B29" i="8" s="1"/>
  <c r="E29" i="8" s="1"/>
  <c r="G29" i="8" s="1"/>
  <c r="F81" i="1" s="1"/>
  <c r="F80" i="1" s="1"/>
  <c r="C9" i="7" l="1"/>
  <c r="D81" i="1"/>
  <c r="D80" i="1" s="1"/>
  <c r="D9" i="7"/>
  <c r="W51" i="2"/>
  <c r="AD47" i="2"/>
  <c r="K8" i="2"/>
  <c r="M8" i="2" s="1"/>
  <c r="L8" i="2"/>
  <c r="AC61" i="2"/>
  <c r="AB61" i="2"/>
  <c r="AA61" i="2"/>
  <c r="Y61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I61" i="2"/>
  <c r="H61" i="2"/>
  <c r="G61" i="2"/>
  <c r="F61" i="2"/>
  <c r="E61" i="2"/>
  <c r="D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Y60" i="2"/>
  <c r="X60" i="2"/>
  <c r="V60" i="2"/>
  <c r="U60" i="2"/>
  <c r="T60" i="2"/>
  <c r="S60" i="2"/>
  <c r="R60" i="2"/>
  <c r="Q60" i="2"/>
  <c r="P60" i="2"/>
  <c r="O60" i="2"/>
  <c r="N60" i="2"/>
  <c r="L60" i="2"/>
  <c r="K60" i="2"/>
  <c r="J60" i="2"/>
  <c r="I60" i="2"/>
  <c r="H60" i="2"/>
  <c r="G60" i="2"/>
  <c r="F60" i="2"/>
  <c r="E60" i="2"/>
  <c r="D60" i="2"/>
  <c r="AL59" i="2"/>
  <c r="AK59" i="2"/>
  <c r="AK62" i="2" s="1"/>
  <c r="AJ59" i="2"/>
  <c r="AJ62" i="2" s="1"/>
  <c r="AI59" i="2"/>
  <c r="AH59" i="2"/>
  <c r="AG59" i="2"/>
  <c r="AG62" i="2" s="1"/>
  <c r="AF59" i="2"/>
  <c r="AE59" i="2"/>
  <c r="AD59" i="2"/>
  <c r="AC59" i="2"/>
  <c r="AC62" i="2" s="1"/>
  <c r="AB59" i="2"/>
  <c r="AA59" i="2"/>
  <c r="Y59" i="2"/>
  <c r="X59" i="2"/>
  <c r="X62" i="2" s="1"/>
  <c r="W59" i="2"/>
  <c r="V59" i="2"/>
  <c r="U59" i="2"/>
  <c r="T59" i="2"/>
  <c r="T62" i="2" s="1"/>
  <c r="S59" i="2"/>
  <c r="R59" i="2"/>
  <c r="Q59" i="2"/>
  <c r="P59" i="2"/>
  <c r="P62" i="2" s="1"/>
  <c r="O59" i="2"/>
  <c r="N59" i="2"/>
  <c r="L59" i="2"/>
  <c r="K59" i="2"/>
  <c r="K62" i="2" s="1"/>
  <c r="J59" i="2"/>
  <c r="I59" i="2"/>
  <c r="H59" i="2"/>
  <c r="G59" i="2"/>
  <c r="G62" i="2" s="1"/>
  <c r="F59" i="2"/>
  <c r="E59" i="2"/>
  <c r="D59" i="2"/>
  <c r="AK58" i="2"/>
  <c r="AJ58" i="2"/>
  <c r="AI58" i="2"/>
  <c r="AH58" i="2"/>
  <c r="AG58" i="2"/>
  <c r="Z58" i="2"/>
  <c r="M58" i="2"/>
  <c r="AM57" i="2"/>
  <c r="Z57" i="2"/>
  <c r="M57" i="2"/>
  <c r="AM56" i="2"/>
  <c r="W56" i="2"/>
  <c r="Z56" i="2" s="1"/>
  <c r="M56" i="2"/>
  <c r="AM55" i="2"/>
  <c r="Z55" i="2"/>
  <c r="M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Y54" i="2"/>
  <c r="X54" i="2"/>
  <c r="W54" i="2"/>
  <c r="V54" i="2"/>
  <c r="U54" i="2"/>
  <c r="T54" i="2"/>
  <c r="S54" i="2"/>
  <c r="R54" i="2"/>
  <c r="Q54" i="2"/>
  <c r="P54" i="2"/>
  <c r="O54" i="2"/>
  <c r="N54" i="2"/>
  <c r="N62" i="2" s="1"/>
  <c r="L54" i="2"/>
  <c r="K54" i="2"/>
  <c r="J54" i="2"/>
  <c r="I54" i="2"/>
  <c r="H54" i="2"/>
  <c r="G54" i="2"/>
  <c r="F54" i="2"/>
  <c r="E54" i="2"/>
  <c r="D54" i="2"/>
  <c r="D62" i="2" s="1"/>
  <c r="AG53" i="2"/>
  <c r="AF53" i="2"/>
  <c r="AE53" i="2"/>
  <c r="AD53" i="2"/>
  <c r="Z53" i="2"/>
  <c r="M53" i="2"/>
  <c r="AM52" i="2"/>
  <c r="Z52" i="2"/>
  <c r="M52" i="2"/>
  <c r="AM51" i="2"/>
  <c r="Z51" i="2"/>
  <c r="M51" i="2"/>
  <c r="AM50" i="2"/>
  <c r="Z50" i="2"/>
  <c r="M50" i="2"/>
  <c r="AL48" i="2"/>
  <c r="AL61" i="2" s="1"/>
  <c r="AK48" i="2"/>
  <c r="AJ48" i="2"/>
  <c r="AI48" i="2"/>
  <c r="AH48" i="2"/>
  <c r="AG48" i="2"/>
  <c r="AF48" i="2"/>
  <c r="AE48" i="2"/>
  <c r="AD48" i="2"/>
  <c r="Z48" i="2"/>
  <c r="M48" i="2"/>
  <c r="AM47" i="2"/>
  <c r="Z47" i="2"/>
  <c r="M47" i="2"/>
  <c r="AM46" i="2"/>
  <c r="W46" i="2"/>
  <c r="Z46" i="2" s="1"/>
  <c r="M46" i="2"/>
  <c r="AM45" i="2"/>
  <c r="Z45" i="2"/>
  <c r="M45" i="2"/>
  <c r="AM44" i="2"/>
  <c r="Z44" i="2"/>
  <c r="M44" i="2"/>
  <c r="P42" i="2"/>
  <c r="AF41" i="2"/>
  <c r="Q41" i="2"/>
  <c r="P41" i="2"/>
  <c r="O41" i="2"/>
  <c r="N41" i="2"/>
  <c r="L41" i="2"/>
  <c r="K41" i="2"/>
  <c r="J41" i="2"/>
  <c r="I41" i="2"/>
  <c r="H41" i="2"/>
  <c r="G41" i="2"/>
  <c r="F41" i="2"/>
  <c r="E41" i="2"/>
  <c r="D41" i="2"/>
  <c r="M41" i="2" s="1"/>
  <c r="AL40" i="2"/>
  <c r="AL63" i="2" s="1"/>
  <c r="AK40" i="2"/>
  <c r="AJ40" i="2"/>
  <c r="AI40" i="2"/>
  <c r="AH40" i="2"/>
  <c r="AH63" i="2" s="1"/>
  <c r="AG40" i="2"/>
  <c r="AF40" i="2"/>
  <c r="AE40" i="2"/>
  <c r="AD40" i="2"/>
  <c r="AD63" i="2" s="1"/>
  <c r="AC40" i="2"/>
  <c r="AB40" i="2"/>
  <c r="AA40" i="2"/>
  <c r="Y40" i="2"/>
  <c r="Y63" i="2" s="1"/>
  <c r="X40" i="2"/>
  <c r="W40" i="2"/>
  <c r="V40" i="2"/>
  <c r="U40" i="2"/>
  <c r="U63" i="2" s="1"/>
  <c r="T40" i="2"/>
  <c r="S40" i="2"/>
  <c r="R40" i="2"/>
  <c r="Q40" i="2"/>
  <c r="Q63" i="2" s="1"/>
  <c r="P40" i="2"/>
  <c r="O40" i="2"/>
  <c r="N40" i="2"/>
  <c r="L40" i="2"/>
  <c r="L63" i="2" s="1"/>
  <c r="K40" i="2"/>
  <c r="I40" i="2"/>
  <c r="H40" i="2"/>
  <c r="G40" i="2"/>
  <c r="F40" i="2"/>
  <c r="E40" i="2"/>
  <c r="D40" i="2"/>
  <c r="AL39" i="2"/>
  <c r="AL42" i="2" s="1"/>
  <c r="AK39" i="2"/>
  <c r="AJ39" i="2"/>
  <c r="AJ42" i="2" s="1"/>
  <c r="AI39" i="2"/>
  <c r="AI42" i="2" s="1"/>
  <c r="AH39" i="2"/>
  <c r="AH42" i="2" s="1"/>
  <c r="AG39" i="2"/>
  <c r="AF39" i="2"/>
  <c r="AF42" i="2" s="1"/>
  <c r="AE39" i="2"/>
  <c r="AE42" i="2" s="1"/>
  <c r="AD39" i="2"/>
  <c r="AD42" i="2" s="1"/>
  <c r="AC39" i="2"/>
  <c r="AB39" i="2"/>
  <c r="AB42" i="2" s="1"/>
  <c r="AA39" i="2"/>
  <c r="AA42" i="2" s="1"/>
  <c r="Y39" i="2"/>
  <c r="X39" i="2"/>
  <c r="X42" i="2" s="1"/>
  <c r="W39" i="2"/>
  <c r="W42" i="2" s="1"/>
  <c r="V39" i="2"/>
  <c r="V42" i="2" s="1"/>
  <c r="U39" i="2"/>
  <c r="T39" i="2"/>
  <c r="T42" i="2" s="1"/>
  <c r="S39" i="2"/>
  <c r="R39" i="2"/>
  <c r="Q39" i="2"/>
  <c r="P39" i="2"/>
  <c r="O39" i="2"/>
  <c r="O42" i="2" s="1"/>
  <c r="N39" i="2"/>
  <c r="N42" i="2" s="1"/>
  <c r="L39" i="2"/>
  <c r="L42" i="2" s="1"/>
  <c r="K39" i="2"/>
  <c r="K42" i="2" s="1"/>
  <c r="J39" i="2"/>
  <c r="J42" i="2" s="1"/>
  <c r="I39" i="2"/>
  <c r="H39" i="2"/>
  <c r="H42" i="2" s="1"/>
  <c r="G39" i="2"/>
  <c r="G42" i="2" s="1"/>
  <c r="F39" i="2"/>
  <c r="F42" i="2" s="1"/>
  <c r="E39" i="2"/>
  <c r="D39" i="2"/>
  <c r="M39" i="2" s="1"/>
  <c r="AB38" i="2"/>
  <c r="AA38" i="2"/>
  <c r="Y38" i="2"/>
  <c r="X38" i="2"/>
  <c r="W38" i="2"/>
  <c r="V38" i="2"/>
  <c r="U38" i="2"/>
  <c r="M38" i="2"/>
  <c r="AM37" i="2"/>
  <c r="Z37" i="2"/>
  <c r="M37" i="2"/>
  <c r="AM36" i="2"/>
  <c r="Z36" i="2"/>
  <c r="M36" i="2"/>
  <c r="J36" i="2"/>
  <c r="AM35" i="2"/>
  <c r="Z35" i="2"/>
  <c r="M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Y34" i="2"/>
  <c r="X34" i="2"/>
  <c r="W34" i="2"/>
  <c r="V34" i="2"/>
  <c r="U34" i="2"/>
  <c r="T34" i="2"/>
  <c r="S34" i="2"/>
  <c r="R34" i="2"/>
  <c r="Q34" i="2"/>
  <c r="P34" i="2"/>
  <c r="O34" i="2"/>
  <c r="N34" i="2"/>
  <c r="L34" i="2"/>
  <c r="K34" i="2"/>
  <c r="J34" i="2"/>
  <c r="I34" i="2"/>
  <c r="H34" i="2"/>
  <c r="G34" i="2"/>
  <c r="F34" i="2"/>
  <c r="E34" i="2"/>
  <c r="D34" i="2"/>
  <c r="M34" i="2" s="1"/>
  <c r="AM33" i="2"/>
  <c r="U33" i="2"/>
  <c r="T33" i="2"/>
  <c r="T41" i="2" s="1"/>
  <c r="S33" i="2"/>
  <c r="S41" i="2" s="1"/>
  <c r="R33" i="2"/>
  <c r="R41" i="2" s="1"/>
  <c r="M33" i="2"/>
  <c r="AM32" i="2"/>
  <c r="Z32" i="2"/>
  <c r="M32" i="2"/>
  <c r="AM31" i="2"/>
  <c r="Z31" i="2"/>
  <c r="J31" i="2"/>
  <c r="M31" i="2" s="1"/>
  <c r="AM30" i="2"/>
  <c r="Z30" i="2"/>
  <c r="M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AM29" i="2" s="1"/>
  <c r="Y29" i="2"/>
  <c r="X29" i="2"/>
  <c r="W29" i="2"/>
  <c r="V29" i="2"/>
  <c r="U29" i="2"/>
  <c r="T29" i="2"/>
  <c r="S29" i="2"/>
  <c r="R29" i="2"/>
  <c r="Q29" i="2"/>
  <c r="P29" i="2"/>
  <c r="O29" i="2"/>
  <c r="N29" i="2"/>
  <c r="L29" i="2"/>
  <c r="K29" i="2"/>
  <c r="J29" i="2"/>
  <c r="I29" i="2"/>
  <c r="H29" i="2"/>
  <c r="G29" i="2"/>
  <c r="F29" i="2"/>
  <c r="E29" i="2"/>
  <c r="M29" i="2" s="1"/>
  <c r="D29" i="2"/>
  <c r="AL28" i="2"/>
  <c r="AL41" i="2" s="1"/>
  <c r="AK28" i="2"/>
  <c r="AK41" i="2" s="1"/>
  <c r="AJ28" i="2"/>
  <c r="AJ41" i="2" s="1"/>
  <c r="AI28" i="2"/>
  <c r="AI41" i="2" s="1"/>
  <c r="AH28" i="2"/>
  <c r="AH41" i="2" s="1"/>
  <c r="AG28" i="2"/>
  <c r="AG41" i="2" s="1"/>
  <c r="AF28" i="2"/>
  <c r="AE28" i="2"/>
  <c r="AE41" i="2" s="1"/>
  <c r="AD28" i="2"/>
  <c r="AD41" i="2" s="1"/>
  <c r="AC28" i="2"/>
  <c r="AC41" i="2" s="1"/>
  <c r="AB28" i="2"/>
  <c r="AB41" i="2" s="1"/>
  <c r="AA28" i="2"/>
  <c r="Y28" i="2"/>
  <c r="X28" i="2"/>
  <c r="X41" i="2" s="1"/>
  <c r="W28" i="2"/>
  <c r="V28" i="2"/>
  <c r="U28" i="2"/>
  <c r="T28" i="2"/>
  <c r="S28" i="2"/>
  <c r="M28" i="2"/>
  <c r="AM27" i="2"/>
  <c r="Z27" i="2"/>
  <c r="M27" i="2"/>
  <c r="AM26" i="2"/>
  <c r="Z26" i="2"/>
  <c r="J26" i="2"/>
  <c r="M26" i="2" s="1"/>
  <c r="AM25" i="2"/>
  <c r="Z25" i="2"/>
  <c r="M25" i="2"/>
  <c r="AM24" i="2"/>
  <c r="AL21" i="2"/>
  <c r="AK21" i="2"/>
  <c r="J21" i="2"/>
  <c r="I21" i="2"/>
  <c r="H21" i="2"/>
  <c r="G21" i="2"/>
  <c r="F21" i="2"/>
  <c r="E21" i="2"/>
  <c r="D21" i="2"/>
  <c r="AL20" i="2"/>
  <c r="AK20" i="2"/>
  <c r="AI20" i="2"/>
  <c r="AH20" i="2"/>
  <c r="AG20" i="2"/>
  <c r="AF20" i="2"/>
  <c r="AE20" i="2"/>
  <c r="AD20" i="2"/>
  <c r="AC20" i="2"/>
  <c r="AB20" i="2"/>
  <c r="AA20" i="2"/>
  <c r="Y20" i="2"/>
  <c r="X20" i="2"/>
  <c r="W20" i="2"/>
  <c r="V20" i="2"/>
  <c r="U20" i="2"/>
  <c r="T20" i="2"/>
  <c r="S20" i="2"/>
  <c r="R20" i="2"/>
  <c r="Q20" i="2"/>
  <c r="P20" i="2"/>
  <c r="P63" i="2" s="1"/>
  <c r="O20" i="2"/>
  <c r="N20" i="2"/>
  <c r="Z20" i="2" s="1"/>
  <c r="L20" i="2"/>
  <c r="K20" i="2"/>
  <c r="J20" i="2"/>
  <c r="I20" i="2"/>
  <c r="H20" i="2"/>
  <c r="G20" i="2"/>
  <c r="E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Y19" i="2"/>
  <c r="X19" i="2"/>
  <c r="W19" i="2"/>
  <c r="V19" i="2"/>
  <c r="U19" i="2"/>
  <c r="T19" i="2"/>
  <c r="S19" i="2"/>
  <c r="R19" i="2"/>
  <c r="Q19" i="2"/>
  <c r="P19" i="2"/>
  <c r="O19" i="2"/>
  <c r="N19" i="2"/>
  <c r="L19" i="2"/>
  <c r="K19" i="2"/>
  <c r="J19" i="2"/>
  <c r="I19" i="2"/>
  <c r="H19" i="2"/>
  <c r="G19" i="2"/>
  <c r="F19" i="2"/>
  <c r="E19" i="2"/>
  <c r="D19" i="2"/>
  <c r="AM18" i="2"/>
  <c r="N18" i="2"/>
  <c r="L18" i="2"/>
  <c r="AM17" i="2"/>
  <c r="Z17" i="2"/>
  <c r="M17" i="2"/>
  <c r="AM16" i="2"/>
  <c r="Z16" i="2"/>
  <c r="F16" i="2"/>
  <c r="F20" i="2" s="1"/>
  <c r="AM15" i="2"/>
  <c r="Z15" i="2"/>
  <c r="M15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Y14" i="2"/>
  <c r="X14" i="2"/>
  <c r="W14" i="2"/>
  <c r="V14" i="2"/>
  <c r="U14" i="2"/>
  <c r="T14" i="2"/>
  <c r="S14" i="2"/>
  <c r="R14" i="2"/>
  <c r="Q14" i="2"/>
  <c r="P14" i="2"/>
  <c r="O14" i="2"/>
  <c r="N14" i="2"/>
  <c r="L14" i="2"/>
  <c r="K14" i="2"/>
  <c r="J14" i="2"/>
  <c r="I14" i="2"/>
  <c r="H14" i="2"/>
  <c r="G14" i="2"/>
  <c r="F14" i="2"/>
  <c r="E14" i="2"/>
  <c r="D14" i="2"/>
  <c r="AM13" i="2"/>
  <c r="Z13" i="2"/>
  <c r="L13" i="2"/>
  <c r="K13" i="2"/>
  <c r="AM12" i="2"/>
  <c r="Z12" i="2"/>
  <c r="M12" i="2"/>
  <c r="AM11" i="2"/>
  <c r="Z11" i="2"/>
  <c r="D11" i="2"/>
  <c r="M11" i="2" s="1"/>
  <c r="AM10" i="2"/>
  <c r="Z10" i="2"/>
  <c r="M10" i="2"/>
  <c r="AJ8" i="2"/>
  <c r="AJ21" i="2" s="1"/>
  <c r="AI8" i="2"/>
  <c r="AI21" i="2" s="1"/>
  <c r="AH8" i="2"/>
  <c r="AH21" i="2" s="1"/>
  <c r="AG8" i="2"/>
  <c r="AG21" i="2" s="1"/>
  <c r="AF8" i="2"/>
  <c r="AF21" i="2" s="1"/>
  <c r="AE8" i="2"/>
  <c r="AE21" i="2" s="1"/>
  <c r="AD8" i="2"/>
  <c r="AD21" i="2" s="1"/>
  <c r="AC8" i="2"/>
  <c r="AC21" i="2" s="1"/>
  <c r="AC64" i="2" s="1"/>
  <c r="AB8" i="2"/>
  <c r="AB21" i="2" s="1"/>
  <c r="AA8" i="2"/>
  <c r="AA21" i="2" s="1"/>
  <c r="Y8" i="2"/>
  <c r="Y21" i="2" s="1"/>
  <c r="X8" i="2"/>
  <c r="X21" i="2" s="1"/>
  <c r="W8" i="2"/>
  <c r="W21" i="2" s="1"/>
  <c r="V8" i="2"/>
  <c r="V21" i="2" s="1"/>
  <c r="U8" i="2"/>
  <c r="U21" i="2" s="1"/>
  <c r="T8" i="2"/>
  <c r="T21" i="2" s="1"/>
  <c r="S8" i="2"/>
  <c r="S21" i="2" s="1"/>
  <c r="R8" i="2"/>
  <c r="R21" i="2" s="1"/>
  <c r="R64" i="2" s="1"/>
  <c r="Q8" i="2"/>
  <c r="Q21" i="2" s="1"/>
  <c r="Q64" i="2" s="1"/>
  <c r="P8" i="2"/>
  <c r="P21" i="2" s="1"/>
  <c r="P64" i="2" s="1"/>
  <c r="O8" i="2"/>
  <c r="O21" i="2" s="1"/>
  <c r="N8" i="2"/>
  <c r="AM7" i="2"/>
  <c r="Z7" i="2"/>
  <c r="M7" i="2"/>
  <c r="Z6" i="2"/>
  <c r="D6" i="2"/>
  <c r="M6" i="2" s="1"/>
  <c r="AM5" i="2"/>
  <c r="Z5" i="2"/>
  <c r="M5" i="2"/>
  <c r="M4" i="2"/>
  <c r="AM58" i="2" l="1"/>
  <c r="AD61" i="2"/>
  <c r="AK61" i="2"/>
  <c r="AK64" i="2" s="1"/>
  <c r="AM48" i="2"/>
  <c r="AF61" i="2"/>
  <c r="AF64" i="2" s="1"/>
  <c r="AJ61" i="2"/>
  <c r="Z34" i="2"/>
  <c r="R42" i="2"/>
  <c r="S42" i="2"/>
  <c r="V41" i="2"/>
  <c r="V64" i="2" s="1"/>
  <c r="T64" i="2"/>
  <c r="X64" i="2"/>
  <c r="W41" i="2"/>
  <c r="W64" i="2" s="1"/>
  <c r="AA41" i="2"/>
  <c r="AM41" i="2" s="1"/>
  <c r="AE61" i="2"/>
  <c r="AE64" i="2" s="1"/>
  <c r="AH61" i="2"/>
  <c r="AH64" i="2" s="1"/>
  <c r="M59" i="2"/>
  <c r="H62" i="2"/>
  <c r="L62" i="2"/>
  <c r="Q62" i="2"/>
  <c r="U62" i="2"/>
  <c r="Y62" i="2"/>
  <c r="O64" i="2"/>
  <c r="S64" i="2"/>
  <c r="AB64" i="2"/>
  <c r="AJ64" i="2"/>
  <c r="E62" i="2"/>
  <c r="I62" i="2"/>
  <c r="AA62" i="2"/>
  <c r="AE62" i="2"/>
  <c r="AI62" i="2"/>
  <c r="M60" i="2"/>
  <c r="AM60" i="2"/>
  <c r="M61" i="2"/>
  <c r="W60" i="2"/>
  <c r="W63" i="2" s="1"/>
  <c r="O62" i="2"/>
  <c r="O65" i="2" s="1"/>
  <c r="S62" i="2"/>
  <c r="W62" i="2"/>
  <c r="AB62" i="2"/>
  <c r="AF62" i="2"/>
  <c r="AF65" i="2" s="1"/>
  <c r="Z61" i="2"/>
  <c r="H63" i="2"/>
  <c r="AA63" i="2"/>
  <c r="AE63" i="2"/>
  <c r="AI63" i="2"/>
  <c r="H64" i="2"/>
  <c r="AM66" i="2"/>
  <c r="O22" i="2"/>
  <c r="S22" i="2"/>
  <c r="S65" i="2" s="1"/>
  <c r="W22" i="2"/>
  <c r="AF22" i="2"/>
  <c r="E63" i="2"/>
  <c r="I63" i="2"/>
  <c r="O63" i="2"/>
  <c r="S63" i="2"/>
  <c r="AB63" i="2"/>
  <c r="AF63" i="2"/>
  <c r="M13" i="2"/>
  <c r="D22" i="2"/>
  <c r="L22" i="2"/>
  <c r="L65" i="2" s="1"/>
  <c r="G22" i="2"/>
  <c r="K22" i="2"/>
  <c r="K65" i="2" s="1"/>
  <c r="P22" i="2"/>
  <c r="X22" i="2"/>
  <c r="X65" i="2" s="1"/>
  <c r="AC22" i="2"/>
  <c r="AG22" i="2"/>
  <c r="AK22" i="2"/>
  <c r="K63" i="2"/>
  <c r="T63" i="2"/>
  <c r="X63" i="2"/>
  <c r="AC63" i="2"/>
  <c r="AG63" i="2"/>
  <c r="AK63" i="2"/>
  <c r="Z8" i="2"/>
  <c r="AM14" i="2"/>
  <c r="M16" i="2"/>
  <c r="AB22" i="2"/>
  <c r="AB65" i="2" s="1"/>
  <c r="AJ22" i="2"/>
  <c r="AJ65" i="2" s="1"/>
  <c r="H22" i="2"/>
  <c r="Q22" i="2"/>
  <c r="U22" i="2"/>
  <c r="Y22" i="2"/>
  <c r="H65" i="2"/>
  <c r="T22" i="2"/>
  <c r="T65" i="2" s="1"/>
  <c r="L21" i="2"/>
  <c r="L64" i="2" s="1"/>
  <c r="E22" i="2"/>
  <c r="I22" i="2"/>
  <c r="AE22" i="2"/>
  <c r="AI22" i="2"/>
  <c r="AI65" i="2" s="1"/>
  <c r="W65" i="2"/>
  <c r="Z14" i="2"/>
  <c r="P65" i="2"/>
  <c r="N21" i="2"/>
  <c r="N64" i="2" s="1"/>
  <c r="AJ6" i="2"/>
  <c r="AM6" i="2" s="1"/>
  <c r="Z66" i="2"/>
  <c r="I3" i="3" s="1"/>
  <c r="M66" i="2"/>
  <c r="E64" i="2"/>
  <c r="I64" i="2"/>
  <c r="F64" i="2"/>
  <c r="J64" i="2"/>
  <c r="G64" i="2"/>
  <c r="G63" i="2"/>
  <c r="M14" i="2"/>
  <c r="Z18" i="2"/>
  <c r="F22" i="2"/>
  <c r="J22" i="2"/>
  <c r="N22" i="2"/>
  <c r="N65" i="2" s="1"/>
  <c r="R22" i="2"/>
  <c r="V22" i="2"/>
  <c r="V65" i="2" s="1"/>
  <c r="Z19" i="2"/>
  <c r="AD22" i="2"/>
  <c r="AH22" i="2"/>
  <c r="AL22" i="2"/>
  <c r="AM28" i="2"/>
  <c r="G65" i="2"/>
  <c r="AC42" i="2"/>
  <c r="AC65" i="2" s="1"/>
  <c r="AG42" i="2"/>
  <c r="AG65" i="2" s="1"/>
  <c r="AK42" i="2"/>
  <c r="AK65" i="2" s="1"/>
  <c r="F63" i="2"/>
  <c r="D42" i="2"/>
  <c r="AM54" i="2"/>
  <c r="AD62" i="2"/>
  <c r="AD65" i="2" s="1"/>
  <c r="AH62" i="2"/>
  <c r="AL62" i="2"/>
  <c r="AL65" i="2" s="1"/>
  <c r="AM21" i="2"/>
  <c r="AA22" i="2"/>
  <c r="AM22" i="2" s="1"/>
  <c r="AM19" i="2"/>
  <c r="D20" i="2"/>
  <c r="M20" i="2" s="1"/>
  <c r="Z28" i="2"/>
  <c r="U41" i="2"/>
  <c r="U64" i="2" s="1"/>
  <c r="Y41" i="2"/>
  <c r="Y64" i="2" s="1"/>
  <c r="Q42" i="2"/>
  <c r="U42" i="2"/>
  <c r="U65" i="2" s="1"/>
  <c r="Y42" i="2"/>
  <c r="AH65" i="2"/>
  <c r="AI61" i="2"/>
  <c r="AI64" i="2" s="1"/>
  <c r="Z59" i="2"/>
  <c r="R62" i="2"/>
  <c r="Z62" i="2" s="1"/>
  <c r="V62" i="2"/>
  <c r="D64" i="2"/>
  <c r="AM8" i="2"/>
  <c r="M19" i="2"/>
  <c r="Z54" i="2"/>
  <c r="K21" i="2"/>
  <c r="K64" i="2" s="1"/>
  <c r="M18" i="2"/>
  <c r="AL64" i="2"/>
  <c r="Z29" i="2"/>
  <c r="AM34" i="2"/>
  <c r="Z38" i="2"/>
  <c r="E42" i="2"/>
  <c r="E65" i="2" s="1"/>
  <c r="I42" i="2"/>
  <c r="I65" i="2" s="1"/>
  <c r="AM42" i="2"/>
  <c r="N63" i="2"/>
  <c r="R63" i="2"/>
  <c r="V63" i="2"/>
  <c r="M54" i="2"/>
  <c r="F62" i="2"/>
  <c r="M62" i="2" s="1"/>
  <c r="J62" i="2"/>
  <c r="Z60" i="2"/>
  <c r="AM53" i="2"/>
  <c r="AG61" i="2"/>
  <c r="AG64" i="2" s="1"/>
  <c r="Z33" i="2"/>
  <c r="Z39" i="2"/>
  <c r="J40" i="2"/>
  <c r="J63" i="2" s="1"/>
  <c r="Z40" i="2"/>
  <c r="AM38" i="2"/>
  <c r="AM39" i="2"/>
  <c r="AM40" i="2"/>
  <c r="AM59" i="2"/>
  <c r="M22" i="2" l="1"/>
  <c r="AM61" i="2"/>
  <c r="AE65" i="2"/>
  <c r="AM65" i="2" s="1"/>
  <c r="AD64" i="2"/>
  <c r="Z42" i="2"/>
  <c r="R65" i="2"/>
  <c r="AA64" i="2"/>
  <c r="Z41" i="2"/>
  <c r="Y65" i="2"/>
  <c r="J65" i="2"/>
  <c r="AA65" i="2"/>
  <c r="Q65" i="2"/>
  <c r="F65" i="2"/>
  <c r="K4" i="3"/>
  <c r="Z63" i="2"/>
  <c r="Z21" i="2"/>
  <c r="AJ20" i="2"/>
  <c r="AM20" i="2" s="1"/>
  <c r="D63" i="2"/>
  <c r="M63" i="2" s="1"/>
  <c r="M21" i="2"/>
  <c r="M64" i="2"/>
  <c r="B7" i="1" s="1"/>
  <c r="M40" i="2"/>
  <c r="AM62" i="2"/>
  <c r="Z64" i="2"/>
  <c r="D7" i="1" s="1"/>
  <c r="M42" i="2"/>
  <c r="D65" i="2"/>
  <c r="M65" i="2" s="1"/>
  <c r="Z22" i="2"/>
  <c r="AM64" i="2" l="1"/>
  <c r="F7" i="1" s="1"/>
  <c r="Z65" i="2"/>
  <c r="AJ63" i="2"/>
  <c r="AM63" i="2" s="1"/>
  <c r="B4" i="11" l="1"/>
  <c r="D12" i="5" l="1"/>
  <c r="B12" i="5"/>
  <c r="B5" i="5"/>
  <c r="D5" i="5"/>
  <c r="B13" i="5"/>
  <c r="G15" i="4"/>
  <c r="G14" i="4"/>
  <c r="G6" i="4"/>
  <c r="G22" i="4" s="1"/>
  <c r="C31" i="4" l="1"/>
  <c r="B77" i="1" s="1"/>
  <c r="C20" i="4"/>
  <c r="B29" i="11" l="1"/>
  <c r="D29" i="11"/>
  <c r="C29" i="11"/>
  <c r="C10" i="8" l="1"/>
  <c r="G8" i="8"/>
  <c r="C20" i="8" l="1"/>
  <c r="E10" i="8"/>
  <c r="B24" i="8" s="1"/>
  <c r="E24" i="8" s="1"/>
  <c r="B30" i="8" s="1"/>
  <c r="E30" i="8" s="1"/>
  <c r="G10" i="8"/>
  <c r="B10" i="7"/>
  <c r="B14" i="11"/>
  <c r="G7" i="8"/>
  <c r="B9" i="7" s="1"/>
  <c r="B11" i="7"/>
  <c r="G6" i="7"/>
  <c r="H6" i="7" s="1"/>
  <c r="I6" i="7" s="1"/>
  <c r="H29" i="6"/>
  <c r="H30" i="6" s="1"/>
  <c r="G29" i="6"/>
  <c r="G30" i="6" s="1"/>
  <c r="F29" i="6"/>
  <c r="F30" i="6" s="1"/>
  <c r="D22" i="11" s="1"/>
  <c r="E29" i="6"/>
  <c r="E30" i="6" s="1"/>
  <c r="H21" i="6"/>
  <c r="H22" i="6" s="1"/>
  <c r="G21" i="6"/>
  <c r="G22" i="6" s="1"/>
  <c r="F21" i="6"/>
  <c r="F22" i="6" s="1"/>
  <c r="C22" i="11" s="1"/>
  <c r="E21" i="6"/>
  <c r="E22" i="6" s="1"/>
  <c r="H13" i="6"/>
  <c r="H14" i="6" s="1"/>
  <c r="G13" i="6"/>
  <c r="G14" i="6" s="1"/>
  <c r="F13" i="6"/>
  <c r="F14" i="6" s="1"/>
  <c r="E13" i="6"/>
  <c r="F91" i="1"/>
  <c r="F95" i="1" s="1"/>
  <c r="D91" i="1"/>
  <c r="D95" i="1" s="1"/>
  <c r="B91" i="1"/>
  <c r="B95" i="1" s="1"/>
  <c r="F86" i="1"/>
  <c r="F89" i="1" s="1"/>
  <c r="D86" i="1"/>
  <c r="D89" i="1" s="1"/>
  <c r="B86" i="1"/>
  <c r="B89" i="1" s="1"/>
  <c r="B66" i="1"/>
  <c r="E19" i="4"/>
  <c r="D65" i="1" s="1"/>
  <c r="C19" i="4"/>
  <c r="B65" i="1" s="1"/>
  <c r="E20" i="4"/>
  <c r="D66" i="1" s="1"/>
  <c r="C21" i="4"/>
  <c r="B67" i="1" s="1"/>
  <c r="E21" i="4"/>
  <c r="D67" i="1" s="1"/>
  <c r="G21" i="4"/>
  <c r="F67" i="1" s="1"/>
  <c r="C29" i="4"/>
  <c r="B75" i="1" s="1"/>
  <c r="E29" i="4"/>
  <c r="D75" i="1" s="1"/>
  <c r="G29" i="4"/>
  <c r="F75" i="1" s="1"/>
  <c r="C30" i="4"/>
  <c r="B76" i="1" s="1"/>
  <c r="E30" i="4"/>
  <c r="D76" i="1" s="1"/>
  <c r="G30" i="4"/>
  <c r="F76" i="1" s="1"/>
  <c r="E31" i="4"/>
  <c r="D77" i="1" s="1"/>
  <c r="G31" i="4"/>
  <c r="F77" i="1" s="1"/>
  <c r="F63" i="1"/>
  <c r="F62" i="1"/>
  <c r="F61" i="1"/>
  <c r="F53" i="1"/>
  <c r="D63" i="1"/>
  <c r="D62" i="1"/>
  <c r="D53" i="1"/>
  <c r="D52" i="1"/>
  <c r="D51" i="1"/>
  <c r="B63" i="1"/>
  <c r="B62" i="1"/>
  <c r="B61" i="1"/>
  <c r="B53" i="1"/>
  <c r="B52" i="1"/>
  <c r="B51" i="1"/>
  <c r="F48" i="1"/>
  <c r="F47" i="1"/>
  <c r="F46" i="1"/>
  <c r="F45" i="1"/>
  <c r="D48" i="1"/>
  <c r="D47" i="1"/>
  <c r="D46" i="1"/>
  <c r="D45" i="1"/>
  <c r="B45" i="1"/>
  <c r="B46" i="1"/>
  <c r="B47" i="1"/>
  <c r="B48" i="1"/>
  <c r="B41" i="1"/>
  <c r="F39" i="1"/>
  <c r="F38" i="1"/>
  <c r="F37" i="1"/>
  <c r="F36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D39" i="1"/>
  <c r="D38" i="1"/>
  <c r="D37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0" i="1"/>
  <c r="B31" i="1"/>
  <c r="B32" i="1"/>
  <c r="B33" i="1"/>
  <c r="B36" i="1"/>
  <c r="B37" i="1"/>
  <c r="B38" i="1"/>
  <c r="B39" i="1"/>
  <c r="E2" i="4"/>
  <c r="C2" i="4"/>
  <c r="F29" i="5"/>
  <c r="F44" i="1" s="1"/>
  <c r="F43" i="1" s="1"/>
  <c r="I28" i="7" s="1"/>
  <c r="D29" i="5"/>
  <c r="D44" i="1" s="1"/>
  <c r="B29" i="5"/>
  <c r="B44" i="1" s="1"/>
  <c r="B22" i="11" l="1"/>
  <c r="B14" i="7"/>
  <c r="G20" i="8"/>
  <c r="B79" i="1" s="1"/>
  <c r="G2" i="4"/>
  <c r="B43" i="1"/>
  <c r="G28" i="7"/>
  <c r="D43" i="1"/>
  <c r="H28" i="7"/>
  <c r="E18" i="4"/>
  <c r="D64" i="1" s="1"/>
  <c r="H24" i="7" s="1"/>
  <c r="F52" i="1"/>
  <c r="G20" i="4"/>
  <c r="F66" i="1" s="1"/>
  <c r="G19" i="4"/>
  <c r="C18" i="4"/>
  <c r="B64" i="1" s="1"/>
  <c r="G24" i="7" s="1"/>
  <c r="E14" i="6"/>
  <c r="B50" i="1"/>
  <c r="D50" i="1"/>
  <c r="F51" i="1"/>
  <c r="D79" i="1" l="1"/>
  <c r="C14" i="7"/>
  <c r="G30" i="8"/>
  <c r="G26" i="8"/>
  <c r="F50" i="1"/>
  <c r="D49" i="1"/>
  <c r="F65" i="1"/>
  <c r="G18" i="4"/>
  <c r="F64" i="1" s="1"/>
  <c r="I24" i="7" s="1"/>
  <c r="B49" i="1"/>
  <c r="F9" i="5"/>
  <c r="F22" i="1" s="1"/>
  <c r="D9" i="5"/>
  <c r="D22" i="1" s="1"/>
  <c r="B9" i="5"/>
  <c r="B22" i="1" s="1"/>
  <c r="F2" i="5"/>
  <c r="F15" i="1" s="1"/>
  <c r="D2" i="5"/>
  <c r="D15" i="1" s="1"/>
  <c r="B2" i="5"/>
  <c r="B15" i="1" s="1"/>
  <c r="I4" i="3"/>
  <c r="D14" i="7" l="1"/>
  <c r="G32" i="8"/>
  <c r="F79" i="1" s="1"/>
  <c r="F49" i="1"/>
  <c r="C21" i="7"/>
  <c r="D21" i="7"/>
  <c r="D16" i="3"/>
  <c r="L3" i="3" s="1"/>
  <c r="C16" i="3"/>
  <c r="J3" i="3" s="1"/>
  <c r="B16" i="3"/>
  <c r="H3" i="3" s="1"/>
  <c r="H4" i="3" s="1"/>
  <c r="B11" i="1" s="1"/>
  <c r="B10" i="1" l="1"/>
  <c r="B13" i="1" s="1"/>
  <c r="G22" i="7"/>
  <c r="B18" i="7"/>
  <c r="D6" i="1"/>
  <c r="E73" i="1" s="1"/>
  <c r="B6" i="1"/>
  <c r="C73" i="1" s="1"/>
  <c r="F6" i="1"/>
  <c r="G73" i="1" s="1"/>
  <c r="G71" i="1" l="1"/>
  <c r="G72" i="1"/>
  <c r="E71" i="1"/>
  <c r="E72" i="1"/>
  <c r="C71" i="1"/>
  <c r="C72" i="1"/>
  <c r="C69" i="1"/>
  <c r="C70" i="1"/>
  <c r="E69" i="1"/>
  <c r="E70" i="1"/>
  <c r="G69" i="1"/>
  <c r="G70" i="1"/>
  <c r="E60" i="1"/>
  <c r="E68" i="1"/>
  <c r="G60" i="1"/>
  <c r="G68" i="1"/>
  <c r="C60" i="1"/>
  <c r="C68" i="1"/>
  <c r="G58" i="1"/>
  <c r="G59" i="1"/>
  <c r="C58" i="1"/>
  <c r="C59" i="1"/>
  <c r="E58" i="1"/>
  <c r="E59" i="1"/>
  <c r="E56" i="1"/>
  <c r="E57" i="1"/>
  <c r="G56" i="1"/>
  <c r="G57" i="1"/>
  <c r="C56" i="1"/>
  <c r="C57" i="1"/>
  <c r="G54" i="1"/>
  <c r="G55" i="1"/>
  <c r="E54" i="1"/>
  <c r="E55" i="1"/>
  <c r="C54" i="1"/>
  <c r="C55" i="1"/>
  <c r="B33" i="7"/>
  <c r="B34" i="7" s="1"/>
  <c r="B25" i="11"/>
  <c r="G81" i="1"/>
  <c r="G97" i="1"/>
  <c r="C81" i="1"/>
  <c r="C97" i="1"/>
  <c r="E81" i="1"/>
  <c r="E97" i="1"/>
  <c r="C16" i="1"/>
  <c r="C20" i="1"/>
  <c r="C24" i="1"/>
  <c r="C28" i="1"/>
  <c r="C32" i="1"/>
  <c r="C36" i="1"/>
  <c r="C41" i="1"/>
  <c r="C45" i="1"/>
  <c r="C49" i="1"/>
  <c r="C53" i="1"/>
  <c r="C64" i="1"/>
  <c r="C75" i="1"/>
  <c r="C80" i="1"/>
  <c r="C82" i="1"/>
  <c r="C83" i="1"/>
  <c r="C88" i="1"/>
  <c r="C93" i="1"/>
  <c r="C98" i="1"/>
  <c r="C15" i="1"/>
  <c r="C17" i="1"/>
  <c r="C21" i="1"/>
  <c r="C25" i="1"/>
  <c r="C29" i="1"/>
  <c r="C33" i="1"/>
  <c r="C37" i="1"/>
  <c r="C42" i="1"/>
  <c r="C46" i="1"/>
  <c r="C50" i="1"/>
  <c r="C61" i="1"/>
  <c r="C65" i="1"/>
  <c r="C76" i="1"/>
  <c r="C85" i="1"/>
  <c r="C89" i="1"/>
  <c r="C94" i="1"/>
  <c r="C6" i="1"/>
  <c r="C19" i="1"/>
  <c r="C27" i="1"/>
  <c r="C39" i="1"/>
  <c r="C48" i="1"/>
  <c r="C52" i="1"/>
  <c r="C67" i="1"/>
  <c r="C87" i="1"/>
  <c r="C12" i="1"/>
  <c r="C18" i="1"/>
  <c r="C22" i="1"/>
  <c r="C26" i="1"/>
  <c r="C30" i="1"/>
  <c r="C34" i="1"/>
  <c r="C38" i="1"/>
  <c r="C43" i="1"/>
  <c r="C47" i="1"/>
  <c r="C51" i="1"/>
  <c r="C62" i="1"/>
  <c r="C66" i="1"/>
  <c r="C77" i="1"/>
  <c r="C86" i="1"/>
  <c r="C91" i="1"/>
  <c r="C95" i="1"/>
  <c r="C23" i="1"/>
  <c r="C31" i="1"/>
  <c r="C35" i="1"/>
  <c r="C44" i="1"/>
  <c r="C63" i="1"/>
  <c r="C79" i="1"/>
  <c r="C92" i="1"/>
  <c r="C11" i="1"/>
  <c r="C10" i="1"/>
  <c r="C7" i="1"/>
  <c r="C13" i="1"/>
  <c r="G95" i="1"/>
  <c r="G91" i="1"/>
  <c r="G86" i="1"/>
  <c r="G77" i="1"/>
  <c r="G66" i="1"/>
  <c r="G62" i="1"/>
  <c r="G51" i="1"/>
  <c r="G47" i="1"/>
  <c r="G43" i="1"/>
  <c r="G38" i="1"/>
  <c r="G34" i="1"/>
  <c r="G30" i="1"/>
  <c r="G26" i="1"/>
  <c r="G19" i="1"/>
  <c r="G15" i="1"/>
  <c r="G94" i="1"/>
  <c r="G89" i="1"/>
  <c r="G85" i="1"/>
  <c r="G76" i="1"/>
  <c r="G65" i="1"/>
  <c r="G61" i="1"/>
  <c r="G50" i="1"/>
  <c r="G46" i="1"/>
  <c r="G42" i="1"/>
  <c r="G37" i="1"/>
  <c r="G33" i="1"/>
  <c r="G29" i="1"/>
  <c r="G25" i="1"/>
  <c r="G22" i="1"/>
  <c r="G18" i="1"/>
  <c r="G93" i="1"/>
  <c r="G88" i="1"/>
  <c r="G83" i="1"/>
  <c r="G82" i="1"/>
  <c r="G80" i="1"/>
  <c r="G75" i="1"/>
  <c r="G64" i="1"/>
  <c r="G53" i="1"/>
  <c r="G49" i="1"/>
  <c r="G45" i="1"/>
  <c r="G41" i="1"/>
  <c r="G36" i="1"/>
  <c r="G32" i="1"/>
  <c r="G28" i="1"/>
  <c r="G24" i="1"/>
  <c r="G21" i="1"/>
  <c r="G17" i="1"/>
  <c r="G6" i="1"/>
  <c r="G92" i="1"/>
  <c r="G87" i="1"/>
  <c r="G79" i="1"/>
  <c r="G67" i="1"/>
  <c r="G63" i="1"/>
  <c r="G52" i="1"/>
  <c r="G48" i="1"/>
  <c r="G44" i="1"/>
  <c r="G39" i="1"/>
  <c r="G35" i="1"/>
  <c r="G31" i="1"/>
  <c r="G27" i="1"/>
  <c r="G23" i="1"/>
  <c r="G20" i="1"/>
  <c r="G16" i="1"/>
  <c r="G12" i="1"/>
  <c r="G7" i="1"/>
  <c r="E98" i="1"/>
  <c r="E93" i="1"/>
  <c r="E88" i="1"/>
  <c r="E83" i="1"/>
  <c r="E82" i="1"/>
  <c r="E80" i="1"/>
  <c r="E75" i="1"/>
  <c r="E64" i="1"/>
  <c r="E53" i="1"/>
  <c r="E49" i="1"/>
  <c r="E45" i="1"/>
  <c r="E41" i="1"/>
  <c r="E36" i="1"/>
  <c r="E32" i="1"/>
  <c r="E28" i="1"/>
  <c r="E24" i="1"/>
  <c r="E21" i="1"/>
  <c r="E17" i="1"/>
  <c r="E66" i="1"/>
  <c r="E34" i="1"/>
  <c r="E26" i="1"/>
  <c r="E15" i="1"/>
  <c r="E94" i="1"/>
  <c r="E76" i="1"/>
  <c r="E65" i="1"/>
  <c r="E50" i="1"/>
  <c r="E42" i="1"/>
  <c r="E37" i="1"/>
  <c r="E29" i="1"/>
  <c r="E22" i="1"/>
  <c r="E92" i="1"/>
  <c r="E87" i="1"/>
  <c r="E79" i="1"/>
  <c r="E67" i="1"/>
  <c r="E63" i="1"/>
  <c r="E52" i="1"/>
  <c r="E48" i="1"/>
  <c r="E44" i="1"/>
  <c r="E39" i="1"/>
  <c r="E35" i="1"/>
  <c r="E31" i="1"/>
  <c r="E27" i="1"/>
  <c r="E23" i="1"/>
  <c r="E20" i="1"/>
  <c r="E16" i="1"/>
  <c r="E12" i="1"/>
  <c r="E6" i="1"/>
  <c r="E95" i="1"/>
  <c r="E91" i="1"/>
  <c r="E86" i="1"/>
  <c r="E77" i="1"/>
  <c r="E62" i="1"/>
  <c r="E51" i="1"/>
  <c r="E47" i="1"/>
  <c r="E43" i="1"/>
  <c r="E38" i="1"/>
  <c r="E30" i="1"/>
  <c r="E19" i="1"/>
  <c r="E89" i="1"/>
  <c r="E85" i="1"/>
  <c r="E61" i="1"/>
  <c r="E46" i="1"/>
  <c r="E33" i="1"/>
  <c r="E25" i="1"/>
  <c r="E18" i="1"/>
  <c r="E7" i="1"/>
  <c r="D11" i="1"/>
  <c r="J4" i="3"/>
  <c r="C18" i="7" s="1"/>
  <c r="C33" i="7" s="1"/>
  <c r="C34" i="7" s="1"/>
  <c r="F11" i="1"/>
  <c r="L4" i="3"/>
  <c r="D18" i="7" s="1"/>
  <c r="D33" i="7" s="1"/>
  <c r="D34" i="7" s="1"/>
  <c r="F8" i="1"/>
  <c r="B8" i="1"/>
  <c r="D8" i="1"/>
  <c r="F10" i="1" l="1"/>
  <c r="F13" i="1" s="1"/>
  <c r="G13" i="1" s="1"/>
  <c r="I22" i="7"/>
  <c r="D10" i="1"/>
  <c r="D13" i="1" s="1"/>
  <c r="E13" i="1" s="1"/>
  <c r="H22" i="7"/>
  <c r="B9" i="1"/>
  <c r="C9" i="1" s="1"/>
  <c r="C8" i="1"/>
  <c r="G11" i="1"/>
  <c r="F9" i="1"/>
  <c r="G9" i="1" s="1"/>
  <c r="G8" i="1"/>
  <c r="E11" i="1"/>
  <c r="D9" i="1"/>
  <c r="E9" i="1" s="1"/>
  <c r="E8" i="1"/>
  <c r="G10" i="1" l="1"/>
  <c r="E10" i="1"/>
  <c r="B14" i="1"/>
  <c r="B40" i="1" s="1"/>
  <c r="F14" i="1"/>
  <c r="G14" i="1" s="1"/>
  <c r="D14" i="1"/>
  <c r="E14" i="1" s="1"/>
  <c r="C40" i="1" l="1"/>
  <c r="B78" i="1"/>
  <c r="C78" i="1" s="1"/>
  <c r="C14" i="1"/>
  <c r="F40" i="1"/>
  <c r="G40" i="1" s="1"/>
  <c r="D40" i="1"/>
  <c r="D78" i="1" s="1"/>
  <c r="D84" i="1" s="1"/>
  <c r="B84" i="1" l="1"/>
  <c r="B90" i="1" s="1"/>
  <c r="F78" i="1"/>
  <c r="F84" i="1" s="1"/>
  <c r="F90" i="1" s="1"/>
  <c r="E40" i="1"/>
  <c r="E78" i="1"/>
  <c r="D90" i="1"/>
  <c r="E84" i="1"/>
  <c r="C84" i="1" l="1"/>
  <c r="B96" i="1"/>
  <c r="B99" i="1" s="1"/>
  <c r="B100" i="1" s="1"/>
  <c r="C90" i="1"/>
  <c r="G84" i="1"/>
  <c r="G78" i="1"/>
  <c r="D96" i="1"/>
  <c r="E90" i="1"/>
  <c r="F96" i="1"/>
  <c r="F98" i="1" s="1"/>
  <c r="G90" i="1"/>
  <c r="I27" i="7" l="1"/>
  <c r="G98" i="1"/>
  <c r="C96" i="1"/>
  <c r="F99" i="1"/>
  <c r="I8" i="7" s="1"/>
  <c r="G96" i="1"/>
  <c r="D99" i="1"/>
  <c r="H8" i="7" s="1"/>
  <c r="E96" i="1"/>
  <c r="C99" i="1" l="1"/>
  <c r="G8" i="7"/>
  <c r="H7" i="7" s="1"/>
  <c r="I7" i="7" s="1"/>
  <c r="D100" i="1"/>
  <c r="C10" i="11" s="1"/>
  <c r="C11" i="11" s="1"/>
  <c r="E99" i="1"/>
  <c r="F100" i="1"/>
  <c r="G99" i="1"/>
  <c r="C100" i="1" l="1"/>
  <c r="B10" i="11"/>
  <c r="G11" i="7"/>
  <c r="G100" i="1"/>
  <c r="D10" i="11"/>
  <c r="D11" i="11" s="1"/>
  <c r="E100" i="1"/>
  <c r="H19" i="7"/>
  <c r="C25" i="11" s="1"/>
  <c r="B11" i="11" l="1"/>
  <c r="B23" i="11" s="1"/>
  <c r="H11" i="7"/>
  <c r="I11" i="7"/>
  <c r="H33" i="7"/>
  <c r="G19" i="7"/>
  <c r="C23" i="11" l="1"/>
  <c r="C27" i="11" s="1"/>
  <c r="C30" i="11" s="1"/>
  <c r="B27" i="11"/>
  <c r="B30" i="11" s="1"/>
  <c r="H34" i="7"/>
  <c r="C37" i="7" s="1"/>
  <c r="G33" i="7"/>
  <c r="G34" i="7" s="1"/>
  <c r="B37" i="7" s="1"/>
  <c r="I19" i="7"/>
  <c r="D23" i="11" l="1"/>
  <c r="I33" i="7"/>
  <c r="I34" i="7" s="1"/>
  <c r="D37" i="7" s="1"/>
  <c r="D25" i="11"/>
  <c r="D27" i="11" l="1"/>
  <c r="D30" i="11" s="1"/>
</calcChain>
</file>

<file path=xl/sharedStrings.xml><?xml version="1.0" encoding="utf-8"?>
<sst xmlns="http://schemas.openxmlformats.org/spreadsheetml/2006/main" count="448" uniqueCount="288">
  <si>
    <t>Soldes intermédiaires de gestion détaillés</t>
  </si>
  <si>
    <t>Unité monétaire : en euros</t>
  </si>
  <si>
    <t>%</t>
  </si>
  <si>
    <t>Production vendue</t>
  </si>
  <si>
    <t>Production de l'exercice</t>
  </si>
  <si>
    <t>Chiffre d'affaires</t>
  </si>
  <si>
    <t>Coût d’achat des matières premières</t>
  </si>
  <si>
    <t>Sous-traitance</t>
  </si>
  <si>
    <t>Marge totale</t>
  </si>
  <si>
    <t>Fournitures consommables</t>
  </si>
  <si>
    <t>      Electricité</t>
  </si>
  <si>
    <t>      Eau</t>
  </si>
  <si>
    <t>      Carburant</t>
  </si>
  <si>
    <t xml:space="preserve">      Petit equipement </t>
  </si>
  <si>
    <t>      Produits entretiens</t>
  </si>
  <si>
    <t>      Fournitures administratives</t>
  </si>
  <si>
    <t>Services extérieurs</t>
  </si>
  <si>
    <t>      Location immobilière</t>
  </si>
  <si>
    <t>      Leasing voiture</t>
  </si>
  <si>
    <t>      Entretien et réparations</t>
  </si>
  <si>
    <t>      Primes et assurances</t>
  </si>
  <si>
    <t>      Etudes et recherches</t>
  </si>
  <si>
    <t>      Documentation, séminaires</t>
  </si>
  <si>
    <t>      Honoraires comptables et social</t>
  </si>
  <si>
    <t>      Honoraires conseil normalisation</t>
  </si>
  <si>
    <t>      Honoraires juridiques</t>
  </si>
  <si>
    <t>      Publicité publication</t>
  </si>
  <si>
    <t>      Déplacements missions réceptions</t>
  </si>
  <si>
    <t>      Frais postaux et télécommunications</t>
  </si>
  <si>
    <t>      Services bancaires</t>
  </si>
  <si>
    <t>      Cotisations</t>
  </si>
  <si>
    <t>      divers</t>
  </si>
  <si>
    <t>Valeur ajoutée</t>
  </si>
  <si>
    <t>Subventions d'exploitation</t>
  </si>
  <si>
    <t>      Subvention</t>
  </si>
  <si>
    <t>Impôts, taxes et vers. assimilés</t>
  </si>
  <si>
    <t>      Impôts et taxes</t>
  </si>
  <si>
    <t>          Taxe d'apprentissage</t>
  </si>
  <si>
    <t>          Participation form. professionnelle</t>
  </si>
  <si>
    <t>          CET</t>
  </si>
  <si>
    <t>          Taxes diverses</t>
  </si>
  <si>
    <t>Charges de personnel</t>
  </si>
  <si>
    <t>      Salaires bruts</t>
  </si>
  <si>
    <t>Excédent brut d'exploitation</t>
  </si>
  <si>
    <t>Dotations aux amortissements et provisions</t>
  </si>
  <si>
    <t>      Dotations aux amortissements</t>
  </si>
  <si>
    <t>          Immobilisations incorporelles</t>
  </si>
  <si>
    <t>          Immobilisations corporelles</t>
  </si>
  <si>
    <t>Résultat d'exploitation</t>
  </si>
  <si>
    <t>Produits financiers</t>
  </si>
  <si>
    <t>Charges financières</t>
  </si>
  <si>
    <t>      Intérêts des comptes courants</t>
  </si>
  <si>
    <t>      Emprunts</t>
  </si>
  <si>
    <t>Résultat financier</t>
  </si>
  <si>
    <t>Résultat courant</t>
  </si>
  <si>
    <t>Produits exceptionnels</t>
  </si>
  <si>
    <t>      PTI</t>
  </si>
  <si>
    <t>      Aide BDE</t>
  </si>
  <si>
    <t>Charges exceptionnelles</t>
  </si>
  <si>
    <t>Résultat exceptionnel</t>
  </si>
  <si>
    <t>Résultat avant impôt</t>
  </si>
  <si>
    <t>Participation des salariés</t>
  </si>
  <si>
    <t>Impôt société</t>
  </si>
  <si>
    <t>Résultat de l'exercice</t>
  </si>
  <si>
    <t>Capacité d'autofinancement</t>
  </si>
  <si>
    <t xml:space="preserve">Rails </t>
  </si>
  <si>
    <t>Boitier éléctronique</t>
  </si>
  <si>
    <t>Enceinte à vibration</t>
  </si>
  <si>
    <t>Gps</t>
  </si>
  <si>
    <t>Leash + plug de leash + cordon nylon</t>
  </si>
  <si>
    <t>Connecteur de recharge induction standard</t>
  </si>
  <si>
    <t>Thermoformage, découpe et vernissage</t>
  </si>
  <si>
    <t>Transport composants</t>
  </si>
  <si>
    <t>Rame</t>
  </si>
  <si>
    <t>Emballage</t>
  </si>
  <si>
    <t xml:space="preserve">Boitier de dérive </t>
  </si>
  <si>
    <t>Cout total</t>
  </si>
  <si>
    <t>Date</t>
  </si>
  <si>
    <t>Acompte</t>
  </si>
  <si>
    <t>Quantités livrées</t>
  </si>
  <si>
    <t>Cout Unitaire 2018</t>
  </si>
  <si>
    <t>Cout Unitaire 2019</t>
  </si>
  <si>
    <t>Cout Unitaire 2020</t>
  </si>
  <si>
    <t>Cout production</t>
  </si>
  <si>
    <t>Stand up Paddle BtoC</t>
  </si>
  <si>
    <t>Impot. Taxes et versements assimilés</t>
  </si>
  <si>
    <t>Taxe d´apprentissage</t>
  </si>
  <si>
    <t>Participation professionnelle</t>
  </si>
  <si>
    <t>CET</t>
  </si>
  <si>
    <t>Taxes diverses</t>
  </si>
  <si>
    <t>Assistant de direction</t>
  </si>
  <si>
    <t>Technicien</t>
  </si>
  <si>
    <t>Vanessa Pretotto</t>
  </si>
  <si>
    <t>Laurent Jaurey</t>
  </si>
  <si>
    <t>Inflation + augm</t>
  </si>
  <si>
    <t>salaire brut</t>
  </si>
  <si>
    <t>Charges sociales</t>
  </si>
  <si>
    <t>Charges patronales</t>
  </si>
  <si>
    <t>Capital souscrit non appelé</t>
  </si>
  <si>
    <t>Actif immobilisé</t>
  </si>
  <si>
    <t>Immobilisations incorporelles</t>
  </si>
  <si>
    <t>Amortissements incorporels</t>
  </si>
  <si>
    <t>Immobilisations corporelles</t>
  </si>
  <si>
    <t>Amortissements corporels</t>
  </si>
  <si>
    <t>Immobilisations financières</t>
  </si>
  <si>
    <t>Provisions sur immobilisations</t>
  </si>
  <si>
    <t>Total actif immobilisé</t>
  </si>
  <si>
    <t>Actif circulant</t>
  </si>
  <si>
    <t>Stocks de matières premières</t>
  </si>
  <si>
    <t>En-cours de production</t>
  </si>
  <si>
    <t>Stocks de marchandises</t>
  </si>
  <si>
    <t>Provisions sur stock et en-cours</t>
  </si>
  <si>
    <t>Avances et acomptes versés</t>
  </si>
  <si>
    <t>Créances clients</t>
  </si>
  <si>
    <t>Provisions des créances clients</t>
  </si>
  <si>
    <t>TVA déductible</t>
  </si>
  <si>
    <t>Crédit de TVA</t>
  </si>
  <si>
    <t>Crédit d'impôt société</t>
  </si>
  <si>
    <t>Autres créances</t>
  </si>
  <si>
    <t>Valeurs mobilières de placement</t>
  </si>
  <si>
    <t>Provisions des VMP</t>
  </si>
  <si>
    <t>Disponibilités</t>
  </si>
  <si>
    <t>Charges constatées d'avance</t>
  </si>
  <si>
    <t>Charges à répartir</t>
  </si>
  <si>
    <t>Total actif circulant</t>
  </si>
  <si>
    <t>Total actif</t>
  </si>
  <si>
    <t>Capital social</t>
  </si>
  <si>
    <t>Réserves + Report à nouveau</t>
  </si>
  <si>
    <t>Subvention d'investissement</t>
  </si>
  <si>
    <t>Total capitaux Propres</t>
  </si>
  <si>
    <t>Prov. pour risques et charges</t>
  </si>
  <si>
    <t>Dettes</t>
  </si>
  <si>
    <t>Emprunts</t>
  </si>
  <si>
    <t>Intérêts courus sur emprunts</t>
  </si>
  <si>
    <t>Découvert</t>
  </si>
  <si>
    <t>Intérêts courus à payer</t>
  </si>
  <si>
    <t>Comptes courants</t>
  </si>
  <si>
    <t>Intérêts courus sur comptes courants</t>
  </si>
  <si>
    <t>Avances et acomptes reçus</t>
  </si>
  <si>
    <t>Dettes fournisseurs</t>
  </si>
  <si>
    <t>Personnels</t>
  </si>
  <si>
    <t>Organismes sociaux</t>
  </si>
  <si>
    <t>TVA collectée</t>
  </si>
  <si>
    <t>TVA à payer</t>
  </si>
  <si>
    <t>Autres dettes fiscales</t>
  </si>
  <si>
    <t>Dettes sur immobilisations</t>
  </si>
  <si>
    <t>Autres dettes</t>
  </si>
  <si>
    <t>Produits constatés d'avance</t>
  </si>
  <si>
    <t>Ecarts conversion</t>
  </si>
  <si>
    <t>Total dettes</t>
  </si>
  <si>
    <t>Total passif</t>
  </si>
  <si>
    <t>Bilandétaillé</t>
  </si>
  <si>
    <t>Ressources</t>
  </si>
  <si>
    <t>Capital</t>
  </si>
  <si>
    <t>Primes et subventions</t>
  </si>
  <si>
    <t>Dettes financières</t>
  </si>
  <si>
    <t>Réserve de participation</t>
  </si>
  <si>
    <t>Cessions d'immobilisations</t>
  </si>
  <si>
    <t>Cessions de valeurs mobilières de placement</t>
  </si>
  <si>
    <t>Total des ressources</t>
  </si>
  <si>
    <t>Emplois</t>
  </si>
  <si>
    <t>Acquisitions d'immobilisations incorporelles</t>
  </si>
  <si>
    <t>Acquisitions d'immobilisations corporelles</t>
  </si>
  <si>
    <t>Acquisitions d'immobilisations financières</t>
  </si>
  <si>
    <t>Acquisitions de VMP</t>
  </si>
  <si>
    <t>Remboursements d'emprunts</t>
  </si>
  <si>
    <t>Remboursements des comptes courants</t>
  </si>
  <si>
    <t>Déblocage de participation</t>
  </si>
  <si>
    <t>Dividendes distribués / Prélèv. exploitant</t>
  </si>
  <si>
    <t>Total des emplois</t>
  </si>
  <si>
    <t>Détail des financements</t>
  </si>
  <si>
    <t>Durée</t>
  </si>
  <si>
    <t>Taux</t>
  </si>
  <si>
    <t>CRD D.P</t>
  </si>
  <si>
    <t>Remb.</t>
  </si>
  <si>
    <t>CRD F.P</t>
  </si>
  <si>
    <t>Coût</t>
  </si>
  <si>
    <t>Emprunts antérieurs</t>
  </si>
  <si>
    <t>          Sous total</t>
  </si>
  <si>
    <t>Nouveaux emprunts</t>
  </si>
  <si>
    <t>2,00 %</t>
  </si>
  <si>
    <t>          Prêt starter</t>
  </si>
  <si>
    <t>                    Total</t>
  </si>
  <si>
    <t/>
  </si>
  <si>
    <t>Tableaux des investissements</t>
  </si>
  <si>
    <t>V.B. A OUV</t>
  </si>
  <si>
    <t>Augment.</t>
  </si>
  <si>
    <t>Diminut.</t>
  </si>
  <si>
    <t>V.B. A CL</t>
  </si>
  <si>
    <t>          Frais d'établissements</t>
  </si>
  <si>
    <t>          Recherche et Developpement</t>
  </si>
  <si>
    <t>Immobilisations Financières</t>
  </si>
  <si>
    <t>          Total</t>
  </si>
  <si>
    <t>Amortissement</t>
  </si>
  <si>
    <t>Durée de vie</t>
  </si>
  <si>
    <t xml:space="preserve">Délai moyen </t>
  </si>
  <si>
    <t>Inventaire</t>
  </si>
  <si>
    <t>Fournisseurs</t>
  </si>
  <si>
    <t>Besoin en fonds de roulement</t>
  </si>
  <si>
    <t>Tresorerie</t>
  </si>
  <si>
    <t>Fonds de roulement</t>
  </si>
  <si>
    <t>Tresorerie bilan</t>
  </si>
  <si>
    <t>control</t>
  </si>
  <si>
    <t>* Apport en nature de l´ordre de 100 K€</t>
  </si>
  <si>
    <t>*** Dette financière aditionelle pour pouvoir couvrir le circulant</t>
  </si>
  <si>
    <t>Soplami</t>
  </si>
  <si>
    <t>Location immobilière</t>
  </si>
  <si>
    <t>Leasing voiture</t>
  </si>
  <si>
    <t>Entretien et réparations</t>
  </si>
  <si>
    <t>Primes et assurances</t>
  </si>
  <si>
    <t>Etudes et recherches</t>
  </si>
  <si>
    <t>Documentation, séminaires</t>
  </si>
  <si>
    <t>Honoraires comptables et social</t>
  </si>
  <si>
    <t>Honoraires conseil normalisation</t>
  </si>
  <si>
    <t>Honoraires juridiques</t>
  </si>
  <si>
    <t>Déplacements missions réceptions</t>
  </si>
  <si>
    <t>Frais postaux et télécommunications</t>
  </si>
  <si>
    <t>Services bancaires</t>
  </si>
  <si>
    <t>Cotisations</t>
  </si>
  <si>
    <t>divers</t>
  </si>
  <si>
    <t>      Sous-traitance</t>
  </si>
  <si>
    <t>total</t>
  </si>
  <si>
    <t xml:space="preserve">      Ventes de Stand up </t>
  </si>
  <si>
    <t>      Ventes de Stand up</t>
  </si>
  <si>
    <t>Apports en comptes courants</t>
  </si>
  <si>
    <t>Plan de Ventes 2019-2020-2021</t>
  </si>
  <si>
    <t>TOTAL 2019</t>
  </si>
  <si>
    <t>TOTAL 2020</t>
  </si>
  <si>
    <t>TOTAL 2021</t>
  </si>
  <si>
    <t>Produit 1 V1</t>
  </si>
  <si>
    <t>Marché B to B Hôtel</t>
  </si>
  <si>
    <t>Lot 1</t>
  </si>
  <si>
    <t>30% soit 30 planches</t>
  </si>
  <si>
    <t>MOIS</t>
  </si>
  <si>
    <t>Production (U)</t>
  </si>
  <si>
    <t>Livraison / Facturation</t>
  </si>
  <si>
    <t>Paiement solde</t>
  </si>
  <si>
    <t>Marché B to B Yacht</t>
  </si>
  <si>
    <t>Marché B to C</t>
  </si>
  <si>
    <t>40% soit 40 planches</t>
  </si>
  <si>
    <t>Sous-total Acompte</t>
  </si>
  <si>
    <t>Sous-total Livraison</t>
  </si>
  <si>
    <t>Sous-total paiement solde</t>
  </si>
  <si>
    <t xml:space="preserve">Lot 2 </t>
  </si>
  <si>
    <t>30% soit 90 planches</t>
  </si>
  <si>
    <t>Production</t>
  </si>
  <si>
    <t>40% soit 120 planches</t>
  </si>
  <si>
    <t>Lot 3</t>
  </si>
  <si>
    <t>30% soit 150 planches</t>
  </si>
  <si>
    <t>40% soit 200 planches</t>
  </si>
  <si>
    <t>TOTAL ACOMPTE</t>
  </si>
  <si>
    <t>TOTAL LIVRAISON</t>
  </si>
  <si>
    <t>QUANTITES LIVREES</t>
  </si>
  <si>
    <t>60 planches</t>
  </si>
  <si>
    <t>250 planches</t>
  </si>
  <si>
    <t>400 planches</t>
  </si>
  <si>
    <t>Mobilier</t>
  </si>
  <si>
    <t>Matériel et informatique</t>
  </si>
  <si>
    <t>Outillage assemblage</t>
  </si>
  <si>
    <t>Conception</t>
  </si>
  <si>
    <t>Prototype</t>
  </si>
  <si>
    <t>Decoupeuse laser</t>
  </si>
  <si>
    <t>Imprimante 3 D</t>
  </si>
  <si>
    <t>Mezzanine</t>
  </si>
  <si>
    <t>      Foires expositions - MYS</t>
  </si>
  <si>
    <t>Foires expositions -MYS</t>
  </si>
  <si>
    <t xml:space="preserve">Réalisation film </t>
  </si>
  <si>
    <t>Publicité, evenements com</t>
  </si>
  <si>
    <t>Clients - au comptant avant livraison</t>
  </si>
  <si>
    <t>TOTAL PAIMENT SOLDE</t>
  </si>
  <si>
    <t>Acompte au 31.12</t>
  </si>
  <si>
    <t>Acompte LLD</t>
  </si>
  <si>
    <t>Prêts</t>
  </si>
  <si>
    <t>mars 2019</t>
  </si>
  <si>
    <t>** Apports en C/C abandonnés par actionnaires</t>
  </si>
  <si>
    <t>Matière première SHIELDUP 4 plaques</t>
  </si>
  <si>
    <t>Pièce centrale</t>
  </si>
  <si>
    <t>Ingenieur CAO</t>
  </si>
  <si>
    <t>Responsable Production</t>
  </si>
  <si>
    <t>Secrétaire administrative</t>
  </si>
  <si>
    <t>Ingénieur électronique</t>
  </si>
  <si>
    <t>Directeur R&amp;D</t>
  </si>
  <si>
    <t>Directeur Supply Chain&amp;Qualité</t>
  </si>
  <si>
    <t>Ingéneiur CAO</t>
  </si>
  <si>
    <t>Ingénieur CAO</t>
  </si>
  <si>
    <t>Directeur Supply Chain &amp;Qualité</t>
  </si>
  <si>
    <t>Ingenieur Production</t>
  </si>
  <si>
    <t xml:space="preserve">Directeur R&amp;D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</si>
</sst>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##\ ###\ ###\ ##0.0"/>
    <numFmt numFmtId="166" formatCode="#,##0_ ;\-#,##0\ "/>
    <numFmt numFmtId="167" formatCode="#,##0_ ;\-#,##0"/>
    <numFmt numFmtId="168" formatCode="_-* #,##0\ _€_-;\-* #,##0\ _€_-;_-* &quot;-&quot;??\ _€_-;_-@_-"/>
    <numFmt numFmtId="169" formatCode="0.0%"/>
    <numFmt numFmtId="170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indexed="23"/>
      <name val="Bradley Hand ITC"/>
      <family val="4"/>
    </font>
    <font>
      <sz val="8"/>
      <color indexed="9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8"/>
      <color theme="1" tint="0.14996795556505021"/>
      <name val="Verdana"/>
      <family val="2"/>
    </font>
    <font>
      <sz val="8"/>
      <color theme="1" tint="0.24994659260841701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i/>
      <sz val="8"/>
      <color theme="1" tint="0.14996795556505021"/>
      <name val="Verdana"/>
      <family val="2"/>
    </font>
    <font>
      <i/>
      <sz val="8"/>
      <color theme="1" tint="0.24994659260841701"/>
      <name val="Verdana"/>
      <family val="2"/>
    </font>
    <font>
      <b/>
      <i/>
      <sz val="20"/>
      <name val="Bradley Hand ITC"/>
      <family val="4"/>
    </font>
    <font>
      <i/>
      <sz val="10"/>
      <color theme="1"/>
      <name val="Calibri"/>
      <family val="2"/>
      <scheme val="minor"/>
    </font>
    <font>
      <b/>
      <i/>
      <sz val="8"/>
      <color theme="1" tint="0.14996795556505021"/>
      <name val="Verdana"/>
      <family val="2"/>
    </font>
    <font>
      <sz val="10"/>
      <name val="Arial"/>
      <family val="2"/>
    </font>
    <font>
      <sz val="8"/>
      <color rgb="FFFF0000"/>
      <name val="Calibri"/>
      <family val="2"/>
      <scheme val="minor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8"/>
      <color rgb="FFFF0000"/>
      <name val="Verdana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Verdana"/>
      <family val="2"/>
    </font>
    <font>
      <sz val="11"/>
      <name val="Calibri"/>
      <family val="2"/>
      <scheme val="minor"/>
    </font>
    <font>
      <b/>
      <sz val="8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58EBF2"/>
        <bgColor indexed="64"/>
      </patternFill>
    </fill>
    <fill>
      <patternFill patternType="solid">
        <fgColor rgb="FF07F712"/>
        <bgColor indexed="64"/>
      </patternFill>
    </fill>
  </fills>
  <borders count="51">
    <border>
      <left/>
      <right/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3" borderId="0">
      <alignment horizontal="center" vertical="center" wrapText="1"/>
    </xf>
    <xf numFmtId="165" fontId="4" fillId="2" borderId="0">
      <alignment horizontal="right" vertical="center" wrapText="1"/>
    </xf>
    <xf numFmtId="165" fontId="4" fillId="4" borderId="0">
      <alignment horizontal="right" vertical="center" wrapText="1"/>
    </xf>
    <xf numFmtId="165" fontId="5" fillId="5" borderId="0">
      <alignment horizontal="right" vertical="center" wrapText="1"/>
    </xf>
    <xf numFmtId="165" fontId="6" fillId="2" borderId="0">
      <alignment horizontal="right" vertical="center" wrapText="1"/>
    </xf>
    <xf numFmtId="165" fontId="7" fillId="4" borderId="0">
      <alignment horizontal="right" vertical="center" wrapText="1"/>
    </xf>
    <xf numFmtId="9" fontId="1" fillId="0" borderId="0" applyFont="0" applyFill="0" applyBorder="0" applyAlignment="0" applyProtection="0"/>
    <xf numFmtId="166" fontId="4" fillId="8" borderId="0">
      <alignment horizontal="right" vertical="center" wrapText="1"/>
    </xf>
  </cellStyleXfs>
  <cellXfs count="336">
    <xf numFmtId="0" fontId="0" fillId="0" borderId="0" xfId="0"/>
    <xf numFmtId="0" fontId="0" fillId="0" borderId="0" xfId="0" applyAlignment="1">
      <alignment vertical="center"/>
    </xf>
    <xf numFmtId="0" fontId="3" fillId="3" borderId="0" xfId="2" applyAlignment="1">
      <alignment horizontal="center" vertical="center" wrapText="1"/>
    </xf>
    <xf numFmtId="166" fontId="4" fillId="2" borderId="0" xfId="3" applyNumberFormat="1" applyAlignment="1">
      <alignment horizontal="left" vertical="center" wrapText="1"/>
    </xf>
    <xf numFmtId="166" fontId="4" fillId="4" borderId="0" xfId="4" applyNumberFormat="1" applyAlignment="1">
      <alignment horizontal="left" vertical="center" wrapText="1"/>
    </xf>
    <xf numFmtId="166" fontId="5" fillId="5" borderId="0" xfId="5" applyNumberFormat="1" applyAlignment="1">
      <alignment horizontal="left" vertical="center" wrapText="1"/>
    </xf>
    <xf numFmtId="165" fontId="4" fillId="4" borderId="0" xfId="4" applyAlignment="1">
      <alignment horizontal="left" vertical="center" wrapText="1"/>
    </xf>
    <xf numFmtId="165" fontId="6" fillId="2" borderId="0" xfId="6">
      <alignment horizontal="right" vertical="center" wrapText="1"/>
    </xf>
    <xf numFmtId="165" fontId="6" fillId="2" borderId="0" xfId="6" applyAlignment="1">
      <alignment horizontal="left" vertical="center" wrapText="1"/>
    </xf>
    <xf numFmtId="165" fontId="4" fillId="2" borderId="0" xfId="3" applyAlignment="1">
      <alignment horizontal="left" vertical="center" wrapText="1"/>
    </xf>
    <xf numFmtId="165" fontId="5" fillId="5" borderId="0" xfId="5" applyAlignment="1">
      <alignment horizontal="left" vertical="center" wrapText="1"/>
    </xf>
    <xf numFmtId="165" fontId="7" fillId="4" borderId="0" xfId="7" applyAlignment="1">
      <alignment horizontal="left" vertical="center" wrapText="1"/>
    </xf>
    <xf numFmtId="164" fontId="0" fillId="0" borderId="0" xfId="1" applyFont="1" applyAlignment="1">
      <alignment vertical="center"/>
    </xf>
    <xf numFmtId="168" fontId="0" fillId="0" borderId="0" xfId="1" applyNumberFormat="1" applyFont="1"/>
    <xf numFmtId="0" fontId="0" fillId="0" borderId="0" xfId="0" applyBorder="1"/>
    <xf numFmtId="0" fontId="8" fillId="0" borderId="18" xfId="0" applyFont="1" applyBorder="1"/>
    <xf numFmtId="0" fontId="0" fillId="0" borderId="21" xfId="0" applyBorder="1"/>
    <xf numFmtId="0" fontId="8" fillId="0" borderId="0" xfId="0" applyFont="1"/>
    <xf numFmtId="165" fontId="5" fillId="4" borderId="0" xfId="4" applyFont="1" applyAlignment="1">
      <alignment horizontal="left" vertical="center" wrapText="1"/>
    </xf>
    <xf numFmtId="0" fontId="13" fillId="0" borderId="0" xfId="0" applyFont="1"/>
    <xf numFmtId="0" fontId="8" fillId="0" borderId="31" xfId="0" applyFont="1" applyBorder="1"/>
    <xf numFmtId="0" fontId="0" fillId="0" borderId="31" xfId="0" applyBorder="1"/>
    <xf numFmtId="165" fontId="10" fillId="6" borderId="30" xfId="6" applyFont="1" applyFill="1" applyBorder="1" applyAlignment="1">
      <alignment horizontal="left" vertical="center" wrapText="1"/>
    </xf>
    <xf numFmtId="167" fontId="10" fillId="6" borderId="32" xfId="6" applyNumberFormat="1" applyFont="1" applyFill="1" applyBorder="1">
      <alignment horizontal="right" vertical="center" wrapText="1"/>
    </xf>
    <xf numFmtId="165" fontId="10" fillId="6" borderId="33" xfId="6" applyFont="1" applyFill="1" applyBorder="1" applyAlignment="1">
      <alignment horizontal="left" vertical="center" wrapText="1"/>
    </xf>
    <xf numFmtId="167" fontId="10" fillId="6" borderId="0" xfId="6" applyNumberFormat="1" applyFont="1" applyFill="1" applyBorder="1">
      <alignment horizontal="right" vertical="center" wrapText="1"/>
    </xf>
    <xf numFmtId="165" fontId="10" fillId="6" borderId="29" xfId="6" applyFont="1" applyFill="1" applyBorder="1" applyAlignment="1">
      <alignment horizontal="left" vertical="center" wrapText="1"/>
    </xf>
    <xf numFmtId="167" fontId="10" fillId="6" borderId="20" xfId="6" applyNumberFormat="1" applyFont="1" applyFill="1" applyBorder="1">
      <alignment horizontal="right" vertical="center" wrapText="1"/>
    </xf>
    <xf numFmtId="169" fontId="10" fillId="6" borderId="0" xfId="8" applyNumberFormat="1" applyFont="1" applyFill="1" applyBorder="1" applyAlignment="1">
      <alignment horizontal="right" vertical="center" wrapText="1"/>
    </xf>
    <xf numFmtId="168" fontId="10" fillId="6" borderId="32" xfId="1" applyNumberFormat="1" applyFont="1" applyFill="1" applyBorder="1" applyAlignment="1">
      <alignment horizontal="right" vertical="center" wrapText="1"/>
    </xf>
    <xf numFmtId="168" fontId="10" fillId="6" borderId="17" xfId="1" applyNumberFormat="1" applyFont="1" applyFill="1" applyBorder="1" applyAlignment="1">
      <alignment horizontal="left" vertical="center" wrapText="1"/>
    </xf>
    <xf numFmtId="168" fontId="10" fillId="6" borderId="0" xfId="1" applyNumberFormat="1" applyFont="1" applyFill="1" applyBorder="1" applyAlignment="1">
      <alignment horizontal="right" vertical="center" wrapText="1"/>
    </xf>
    <xf numFmtId="168" fontId="10" fillId="6" borderId="19" xfId="1" applyNumberFormat="1" applyFont="1" applyFill="1" applyBorder="1" applyAlignment="1">
      <alignment horizontal="left" vertical="center" wrapText="1"/>
    </xf>
    <xf numFmtId="168" fontId="10" fillId="6" borderId="20" xfId="1" applyNumberFormat="1" applyFont="1" applyFill="1" applyBorder="1" applyAlignment="1">
      <alignment horizontal="right" vertical="center" wrapText="1"/>
    </xf>
    <xf numFmtId="168" fontId="10" fillId="6" borderId="34" xfId="1" applyNumberFormat="1" applyFont="1" applyFill="1" applyBorder="1" applyAlignment="1">
      <alignment horizontal="left" vertical="center" wrapText="1"/>
    </xf>
    <xf numFmtId="168" fontId="10" fillId="6" borderId="17" xfId="1" applyNumberFormat="1" applyFont="1" applyFill="1" applyBorder="1" applyAlignment="1">
      <alignment horizontal="right" vertical="center" wrapText="1"/>
    </xf>
    <xf numFmtId="168" fontId="10" fillId="6" borderId="19" xfId="1" applyNumberFormat="1" applyFont="1" applyFill="1" applyBorder="1" applyAlignment="1">
      <alignment horizontal="right" vertical="center" wrapText="1"/>
    </xf>
    <xf numFmtId="168" fontId="10" fillId="6" borderId="34" xfId="1" applyNumberFormat="1" applyFont="1" applyFill="1" applyBorder="1" applyAlignment="1">
      <alignment horizontal="right" vertical="center" wrapText="1"/>
    </xf>
    <xf numFmtId="169" fontId="0" fillId="0" borderId="0" xfId="8" applyNumberFormat="1" applyFont="1" applyAlignment="1">
      <alignment vertical="center"/>
    </xf>
    <xf numFmtId="169" fontId="0" fillId="0" borderId="0" xfId="0" applyNumberFormat="1" applyAlignment="1">
      <alignment vertical="center"/>
    </xf>
    <xf numFmtId="165" fontId="4" fillId="2" borderId="0" xfId="3" applyAlignment="1">
      <alignment horizontal="right" vertical="center" wrapText="1"/>
    </xf>
    <xf numFmtId="0" fontId="3" fillId="3" borderId="0" xfId="2" applyAlignment="1">
      <alignment horizontal="left" vertical="center" wrapText="1"/>
    </xf>
    <xf numFmtId="0" fontId="3" fillId="3" borderId="0" xfId="2" applyAlignment="1">
      <alignment horizontal="right" vertical="center" wrapText="1"/>
    </xf>
    <xf numFmtId="165" fontId="4" fillId="4" borderId="0" xfId="4" applyAlignment="1">
      <alignment horizontal="right" vertical="center" wrapText="1"/>
    </xf>
    <xf numFmtId="165" fontId="5" fillId="5" borderId="0" xfId="5" applyAlignment="1">
      <alignment horizontal="right" vertical="center" wrapText="1"/>
    </xf>
    <xf numFmtId="165" fontId="7" fillId="4" borderId="0" xfId="7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167" fontId="5" fillId="9" borderId="0" xfId="5" applyNumberFormat="1" applyFill="1" applyBorder="1">
      <alignment horizontal="right" vertical="center" wrapText="1"/>
    </xf>
    <xf numFmtId="169" fontId="5" fillId="9" borderId="0" xfId="8" applyNumberFormat="1" applyFont="1" applyFill="1" applyBorder="1" applyAlignment="1">
      <alignment horizontal="right" vertical="center" wrapText="1"/>
    </xf>
    <xf numFmtId="167" fontId="5" fillId="9" borderId="0" xfId="5" applyNumberFormat="1" applyFont="1" applyFill="1" applyBorder="1">
      <alignment horizontal="right" vertical="center" wrapText="1"/>
    </xf>
    <xf numFmtId="165" fontId="4" fillId="4" borderId="33" xfId="4" applyBorder="1" applyAlignment="1">
      <alignment horizontal="left" vertical="center" wrapText="1"/>
    </xf>
    <xf numFmtId="167" fontId="4" fillId="4" borderId="0" xfId="4" applyNumberFormat="1" applyBorder="1">
      <alignment horizontal="right" vertical="center" wrapText="1"/>
    </xf>
    <xf numFmtId="169" fontId="4" fillId="4" borderId="0" xfId="8" applyNumberFormat="1" applyFont="1" applyFill="1" applyBorder="1" applyAlignment="1">
      <alignment horizontal="right" vertical="center" wrapText="1"/>
    </xf>
    <xf numFmtId="169" fontId="4" fillId="4" borderId="19" xfId="8" applyNumberFormat="1" applyFont="1" applyFill="1" applyBorder="1" applyAlignment="1">
      <alignment horizontal="right" vertical="center" wrapText="1"/>
    </xf>
    <xf numFmtId="166" fontId="6" fillId="6" borderId="33" xfId="6" applyNumberFormat="1" applyFill="1" applyBorder="1" applyAlignment="1">
      <alignment horizontal="left" vertical="center" wrapText="1"/>
    </xf>
    <xf numFmtId="167" fontId="6" fillId="6" borderId="0" xfId="6" applyNumberFormat="1" applyFill="1" applyBorder="1">
      <alignment horizontal="right" vertical="center" wrapText="1"/>
    </xf>
    <xf numFmtId="169" fontId="6" fillId="6" borderId="0" xfId="8" applyNumberFormat="1" applyFont="1" applyFill="1" applyBorder="1" applyAlignment="1">
      <alignment horizontal="right" vertical="center" wrapText="1"/>
    </xf>
    <xf numFmtId="169" fontId="6" fillId="6" borderId="19" xfId="8" applyNumberFormat="1" applyFont="1" applyFill="1" applyBorder="1" applyAlignment="1">
      <alignment horizontal="right" vertical="center" wrapText="1"/>
    </xf>
    <xf numFmtId="165" fontId="5" fillId="5" borderId="33" xfId="5" applyBorder="1" applyAlignment="1">
      <alignment horizontal="left" vertical="center" wrapText="1"/>
    </xf>
    <xf numFmtId="167" fontId="5" fillId="5" borderId="0" xfId="5" applyNumberFormat="1" applyBorder="1">
      <alignment horizontal="right" vertical="center" wrapText="1"/>
    </xf>
    <xf numFmtId="169" fontId="5" fillId="5" borderId="0" xfId="8" applyNumberFormat="1" applyFont="1" applyFill="1" applyBorder="1" applyAlignment="1">
      <alignment horizontal="right" vertical="center" wrapText="1"/>
    </xf>
    <xf numFmtId="169" fontId="5" fillId="5" borderId="19" xfId="5" applyNumberFormat="1" applyBorder="1">
      <alignment horizontal="right" vertical="center" wrapText="1"/>
    </xf>
    <xf numFmtId="165" fontId="5" fillId="9" borderId="33" xfId="5" applyFill="1" applyBorder="1" applyAlignment="1">
      <alignment horizontal="left" vertical="center" wrapText="1"/>
    </xf>
    <xf numFmtId="169" fontId="5" fillId="9" borderId="19" xfId="5" applyNumberFormat="1" applyFill="1" applyBorder="1">
      <alignment horizontal="right" vertical="center" wrapText="1"/>
    </xf>
    <xf numFmtId="169" fontId="4" fillId="4" borderId="19" xfId="4" applyNumberFormat="1" applyBorder="1">
      <alignment horizontal="right" vertical="center" wrapText="1"/>
    </xf>
    <xf numFmtId="169" fontId="10" fillId="6" borderId="19" xfId="6" applyNumberFormat="1" applyFont="1" applyFill="1" applyBorder="1">
      <alignment horizontal="right" vertical="center" wrapText="1"/>
    </xf>
    <xf numFmtId="165" fontId="11" fillId="6" borderId="33" xfId="7" applyFont="1" applyFill="1" applyBorder="1" applyAlignment="1">
      <alignment horizontal="left" vertical="center" wrapText="1"/>
    </xf>
    <xf numFmtId="167" fontId="11" fillId="6" borderId="0" xfId="7" applyNumberFormat="1" applyFont="1" applyFill="1" applyBorder="1">
      <alignment horizontal="right" vertical="center" wrapText="1"/>
    </xf>
    <xf numFmtId="169" fontId="11" fillId="6" borderId="0" xfId="8" applyNumberFormat="1" applyFont="1" applyFill="1" applyBorder="1" applyAlignment="1">
      <alignment horizontal="right" vertical="center" wrapText="1"/>
    </xf>
    <xf numFmtId="169" fontId="11" fillId="6" borderId="19" xfId="7" applyNumberFormat="1" applyFont="1" applyFill="1" applyBorder="1">
      <alignment horizontal="right" vertical="center" wrapText="1"/>
    </xf>
    <xf numFmtId="169" fontId="5" fillId="9" borderId="19" xfId="8" applyNumberFormat="1" applyFont="1" applyFill="1" applyBorder="1" applyAlignment="1">
      <alignment horizontal="right" vertical="center" wrapText="1"/>
    </xf>
    <xf numFmtId="165" fontId="5" fillId="9" borderId="33" xfId="5" applyFont="1" applyFill="1" applyBorder="1" applyAlignment="1">
      <alignment horizontal="left" vertical="center" wrapText="1"/>
    </xf>
    <xf numFmtId="165" fontId="5" fillId="4" borderId="33" xfId="4" applyFont="1" applyBorder="1" applyAlignment="1">
      <alignment horizontal="left" vertical="center" wrapText="1"/>
    </xf>
    <xf numFmtId="167" fontId="5" fillId="4" borderId="0" xfId="4" applyNumberFormat="1" applyFont="1" applyBorder="1">
      <alignment horizontal="right" vertical="center" wrapText="1"/>
    </xf>
    <xf numFmtId="169" fontId="5" fillId="4" borderId="0" xfId="8" applyNumberFormat="1" applyFont="1" applyFill="1" applyBorder="1" applyAlignment="1">
      <alignment horizontal="right" vertical="center" wrapText="1"/>
    </xf>
    <xf numFmtId="169" fontId="5" fillId="4" borderId="19" xfId="4" applyNumberFormat="1" applyFont="1" applyBorder="1">
      <alignment horizontal="right" vertical="center" wrapText="1"/>
    </xf>
    <xf numFmtId="165" fontId="6" fillId="2" borderId="33" xfId="6" applyBorder="1" applyAlignment="1">
      <alignment horizontal="left" vertical="center" wrapText="1"/>
    </xf>
    <xf numFmtId="167" fontId="6" fillId="2" borderId="0" xfId="6" applyNumberFormat="1" applyBorder="1">
      <alignment horizontal="right" vertical="center" wrapText="1"/>
    </xf>
    <xf numFmtId="169" fontId="6" fillId="2" borderId="0" xfId="8" applyNumberFormat="1" applyFont="1" applyFill="1" applyBorder="1" applyAlignment="1">
      <alignment horizontal="right" vertical="center" wrapText="1"/>
    </xf>
    <xf numFmtId="169" fontId="6" fillId="2" borderId="19" xfId="6" applyNumberFormat="1" applyBorder="1">
      <alignment horizontal="right" vertical="center" wrapText="1"/>
    </xf>
    <xf numFmtId="165" fontId="7" fillId="4" borderId="33" xfId="7" applyBorder="1" applyAlignment="1">
      <alignment horizontal="left" vertical="center" wrapText="1"/>
    </xf>
    <xf numFmtId="167" fontId="7" fillId="4" borderId="0" xfId="7" applyNumberFormat="1" applyBorder="1">
      <alignment horizontal="right" vertical="center" wrapText="1"/>
    </xf>
    <xf numFmtId="169" fontId="7" fillId="4" borderId="0" xfId="8" applyNumberFormat="1" applyFont="1" applyFill="1" applyBorder="1" applyAlignment="1">
      <alignment horizontal="right" vertical="center" wrapText="1"/>
    </xf>
    <xf numFmtId="169" fontId="7" fillId="4" borderId="19" xfId="7" applyNumberFormat="1" applyBorder="1">
      <alignment horizontal="right" vertical="center" wrapText="1"/>
    </xf>
    <xf numFmtId="165" fontId="4" fillId="2" borderId="33" xfId="3" applyBorder="1" applyAlignment="1">
      <alignment horizontal="left" vertical="center" wrapText="1"/>
    </xf>
    <xf numFmtId="167" fontId="4" fillId="2" borderId="0" xfId="3" applyNumberFormat="1" applyBorder="1">
      <alignment horizontal="right" vertical="center" wrapText="1"/>
    </xf>
    <xf numFmtId="169" fontId="4" fillId="2" borderId="0" xfId="8" applyNumberFormat="1" applyFont="1" applyFill="1" applyBorder="1" applyAlignment="1">
      <alignment horizontal="right" vertical="center" wrapText="1"/>
    </xf>
    <xf numFmtId="169" fontId="4" fillId="2" borderId="19" xfId="3" applyNumberFormat="1" applyBorder="1">
      <alignment horizontal="right" vertical="center" wrapText="1"/>
    </xf>
    <xf numFmtId="165" fontId="5" fillId="9" borderId="29" xfId="5" applyFill="1" applyBorder="1" applyAlignment="1">
      <alignment horizontal="left" vertical="center" wrapText="1"/>
    </xf>
    <xf numFmtId="167" fontId="5" fillId="9" borderId="20" xfId="5" applyNumberFormat="1" applyFill="1" applyBorder="1">
      <alignment horizontal="right" vertical="center" wrapText="1"/>
    </xf>
    <xf numFmtId="169" fontId="5" fillId="9" borderId="20" xfId="8" applyNumberFormat="1" applyFont="1" applyFill="1" applyBorder="1" applyAlignment="1">
      <alignment horizontal="right" vertical="center" wrapText="1"/>
    </xf>
    <xf numFmtId="169" fontId="5" fillId="9" borderId="34" xfId="5" applyNumberFormat="1" applyFill="1" applyBorder="1">
      <alignment horizontal="right" vertical="center" wrapText="1"/>
    </xf>
    <xf numFmtId="0" fontId="8" fillId="9" borderId="31" xfId="0" applyFont="1" applyFill="1" applyBorder="1"/>
    <xf numFmtId="168" fontId="8" fillId="9" borderId="31" xfId="1" applyNumberFormat="1" applyFont="1" applyFill="1" applyBorder="1"/>
    <xf numFmtId="168" fontId="8" fillId="9" borderId="18" xfId="1" applyNumberFormat="1" applyFont="1" applyFill="1" applyBorder="1"/>
    <xf numFmtId="165" fontId="14" fillId="9" borderId="21" xfId="6" applyFont="1" applyFill="1" applyBorder="1" applyAlignment="1">
      <alignment horizontal="left" vertical="center" wrapText="1"/>
    </xf>
    <xf numFmtId="165" fontId="5" fillId="4" borderId="0" xfId="4" applyFont="1" applyAlignment="1">
      <alignment horizontal="right" vertical="center" wrapText="1"/>
    </xf>
    <xf numFmtId="165" fontId="5" fillId="2" borderId="0" xfId="3" applyFont="1" applyAlignment="1">
      <alignment horizontal="left" vertical="center" wrapText="1"/>
    </xf>
    <xf numFmtId="165" fontId="5" fillId="2" borderId="0" xfId="3" applyFont="1" applyAlignment="1">
      <alignment horizontal="right" vertical="center" wrapText="1"/>
    </xf>
    <xf numFmtId="168" fontId="0" fillId="7" borderId="0" xfId="1" applyNumberFormat="1" applyFont="1" applyFill="1"/>
    <xf numFmtId="0" fontId="0" fillId="0" borderId="30" xfId="0" applyBorder="1"/>
    <xf numFmtId="0" fontId="0" fillId="0" borderId="32" xfId="0" applyBorder="1"/>
    <xf numFmtId="0" fontId="0" fillId="0" borderId="17" xfId="0" applyBorder="1"/>
    <xf numFmtId="0" fontId="0" fillId="0" borderId="33" xfId="0" applyBorder="1"/>
    <xf numFmtId="0" fontId="0" fillId="0" borderId="19" xfId="0" applyBorder="1"/>
    <xf numFmtId="0" fontId="0" fillId="0" borderId="29" xfId="0" applyBorder="1"/>
    <xf numFmtId="0" fontId="0" fillId="0" borderId="20" xfId="0" applyBorder="1"/>
    <xf numFmtId="0" fontId="0" fillId="0" borderId="34" xfId="0" applyBorder="1"/>
    <xf numFmtId="170" fontId="0" fillId="0" borderId="0" xfId="0" applyNumberFormat="1"/>
    <xf numFmtId="165" fontId="5" fillId="5" borderId="21" xfId="5" applyBorder="1" applyAlignment="1">
      <alignment horizontal="left" vertical="center" wrapText="1"/>
    </xf>
    <xf numFmtId="0" fontId="16" fillId="0" borderId="0" xfId="0" applyFont="1"/>
    <xf numFmtId="168" fontId="3" fillId="3" borderId="0" xfId="1" applyNumberFormat="1" applyFont="1" applyFill="1" applyAlignment="1">
      <alignment horizontal="center" vertical="center" wrapText="1"/>
    </xf>
    <xf numFmtId="168" fontId="3" fillId="3" borderId="0" xfId="1" applyNumberFormat="1" applyFont="1" applyFill="1" applyAlignment="1">
      <alignment horizontal="right" vertical="center" wrapText="1"/>
    </xf>
    <xf numFmtId="168" fontId="4" fillId="4" borderId="0" xfId="1" applyNumberFormat="1" applyFont="1" applyFill="1" applyAlignment="1">
      <alignment horizontal="right" vertical="center" wrapText="1"/>
    </xf>
    <xf numFmtId="168" fontId="4" fillId="2" borderId="0" xfId="1" applyNumberFormat="1" applyFont="1" applyFill="1" applyAlignment="1">
      <alignment horizontal="right" vertical="center" wrapText="1"/>
    </xf>
    <xf numFmtId="168" fontId="5" fillId="5" borderId="0" xfId="1" applyNumberFormat="1" applyFont="1" applyFill="1" applyAlignment="1">
      <alignment horizontal="right" vertical="center" wrapText="1"/>
    </xf>
    <xf numFmtId="168" fontId="5" fillId="5" borderId="31" xfId="1" applyNumberFormat="1" applyFont="1" applyFill="1" applyBorder="1" applyAlignment="1">
      <alignment horizontal="right" vertical="center" wrapText="1"/>
    </xf>
    <xf numFmtId="168" fontId="5" fillId="5" borderId="18" xfId="1" applyNumberFormat="1" applyFont="1" applyFill="1" applyBorder="1" applyAlignment="1">
      <alignment horizontal="right" vertical="center" wrapText="1"/>
    </xf>
    <xf numFmtId="168" fontId="5" fillId="5" borderId="0" xfId="1" applyNumberFormat="1" applyFont="1" applyFill="1" applyAlignment="1">
      <alignment horizontal="left" vertical="center" wrapText="1"/>
    </xf>
    <xf numFmtId="168" fontId="16" fillId="0" borderId="0" xfId="1" applyNumberFormat="1" applyFont="1"/>
    <xf numFmtId="0" fontId="3" fillId="3" borderId="30" xfId="2" applyBorder="1" applyAlignment="1">
      <alignment horizontal="center" vertical="center" wrapText="1"/>
    </xf>
    <xf numFmtId="0" fontId="3" fillId="3" borderId="32" xfId="2" applyBorder="1" applyAlignment="1">
      <alignment horizontal="center" vertical="center" wrapText="1"/>
    </xf>
    <xf numFmtId="0" fontId="3" fillId="3" borderId="17" xfId="2" applyBorder="1" applyAlignment="1">
      <alignment horizontal="center" vertical="center" wrapText="1"/>
    </xf>
    <xf numFmtId="165" fontId="4" fillId="2" borderId="0" xfId="3" applyBorder="1" applyAlignment="1">
      <alignment horizontal="right" vertical="center" wrapText="1"/>
    </xf>
    <xf numFmtId="165" fontId="4" fillId="2" borderId="19" xfId="3" applyBorder="1" applyAlignment="1">
      <alignment horizontal="right" vertical="center" wrapText="1"/>
    </xf>
    <xf numFmtId="0" fontId="3" fillId="3" borderId="33" xfId="2" applyBorder="1" applyAlignment="1">
      <alignment horizontal="left" vertical="center" wrapText="1"/>
    </xf>
    <xf numFmtId="0" fontId="3" fillId="3" borderId="0" xfId="2" applyBorder="1" applyAlignment="1">
      <alignment horizontal="right" vertical="center" wrapText="1"/>
    </xf>
    <xf numFmtId="0" fontId="3" fillId="3" borderId="19" xfId="2" applyBorder="1" applyAlignment="1">
      <alignment horizontal="right" vertical="center" wrapText="1"/>
    </xf>
    <xf numFmtId="165" fontId="4" fillId="4" borderId="0" xfId="4" applyBorder="1" applyAlignment="1">
      <alignment horizontal="right" vertical="center" wrapText="1"/>
    </xf>
    <xf numFmtId="165" fontId="4" fillId="4" borderId="19" xfId="4" applyBorder="1" applyAlignment="1">
      <alignment horizontal="right" vertical="center" wrapText="1"/>
    </xf>
    <xf numFmtId="165" fontId="5" fillId="5" borderId="0" xfId="5" applyBorder="1" applyAlignment="1">
      <alignment horizontal="right" vertical="center" wrapText="1"/>
    </xf>
    <xf numFmtId="165" fontId="5" fillId="5" borderId="19" xfId="5" applyBorder="1" applyAlignment="1">
      <alignment horizontal="right" vertical="center" wrapText="1"/>
    </xf>
    <xf numFmtId="0" fontId="3" fillId="3" borderId="30" xfId="2" applyBorder="1" applyAlignment="1">
      <alignment horizontal="right" vertical="center" wrapText="1"/>
    </xf>
    <xf numFmtId="0" fontId="3" fillId="3" borderId="32" xfId="2" applyBorder="1" applyAlignment="1">
      <alignment horizontal="right" vertical="center" wrapText="1"/>
    </xf>
    <xf numFmtId="0" fontId="3" fillId="3" borderId="17" xfId="2" applyBorder="1" applyAlignment="1">
      <alignment horizontal="right" vertical="center" wrapText="1"/>
    </xf>
    <xf numFmtId="166" fontId="4" fillId="8" borderId="33" xfId="9" applyBorder="1" applyAlignment="1">
      <alignment horizontal="left" vertical="center" wrapText="1"/>
    </xf>
    <xf numFmtId="166" fontId="4" fillId="8" borderId="0" xfId="9" applyBorder="1" applyAlignment="1">
      <alignment horizontal="right" vertical="center" wrapText="1"/>
    </xf>
    <xf numFmtId="166" fontId="4" fillId="8" borderId="19" xfId="9" applyBorder="1" applyAlignment="1">
      <alignment horizontal="right" vertical="center" wrapText="1"/>
    </xf>
    <xf numFmtId="165" fontId="5" fillId="5" borderId="31" xfId="5" applyBorder="1" applyAlignment="1">
      <alignment horizontal="right" vertical="center" wrapText="1"/>
    </xf>
    <xf numFmtId="165" fontId="5" fillId="5" borderId="18" xfId="5" applyBorder="1" applyAlignment="1">
      <alignment horizontal="right" vertical="center" wrapText="1"/>
    </xf>
    <xf numFmtId="0" fontId="17" fillId="0" borderId="0" xfId="0" applyFont="1"/>
    <xf numFmtId="0" fontId="9" fillId="0" borderId="0" xfId="0" applyFont="1"/>
    <xf numFmtId="0" fontId="18" fillId="9" borderId="6" xfId="0" applyFont="1" applyFill="1" applyBorder="1"/>
    <xf numFmtId="0" fontId="18" fillId="9" borderId="5" xfId="0" applyFont="1" applyFill="1" applyBorder="1" applyAlignment="1">
      <alignment horizontal="center" wrapText="1"/>
    </xf>
    <xf numFmtId="0" fontId="19" fillId="0" borderId="0" xfId="0" applyFont="1"/>
    <xf numFmtId="0" fontId="19" fillId="0" borderId="8" xfId="0" applyFont="1" applyBorder="1"/>
    <xf numFmtId="168" fontId="19" fillId="0" borderId="5" xfId="1" applyNumberFormat="1" applyFont="1" applyBorder="1"/>
    <xf numFmtId="168" fontId="19" fillId="0" borderId="11" xfId="1" applyNumberFormat="1" applyFont="1" applyBorder="1"/>
    <xf numFmtId="0" fontId="19" fillId="0" borderId="22" xfId="0" applyFont="1" applyBorder="1" applyAlignment="1">
      <alignment horizontal="center" wrapText="1"/>
    </xf>
    <xf numFmtId="0" fontId="19" fillId="0" borderId="23" xfId="0" applyFont="1" applyBorder="1" applyAlignment="1">
      <alignment horizontal="center"/>
    </xf>
    <xf numFmtId="0" fontId="19" fillId="0" borderId="23" xfId="0" applyFont="1" applyBorder="1" applyAlignment="1">
      <alignment horizontal="center" wrapText="1"/>
    </xf>
    <xf numFmtId="168" fontId="19" fillId="0" borderId="23" xfId="0" applyNumberFormat="1" applyFont="1" applyBorder="1" applyAlignment="1">
      <alignment horizontal="center"/>
    </xf>
    <xf numFmtId="168" fontId="19" fillId="0" borderId="24" xfId="0" applyNumberFormat="1" applyFont="1" applyBorder="1" applyAlignment="1">
      <alignment horizontal="center"/>
    </xf>
    <xf numFmtId="0" fontId="19" fillId="0" borderId="13" xfId="0" applyFont="1" applyBorder="1"/>
    <xf numFmtId="0" fontId="19" fillId="9" borderId="6" xfId="0" applyFont="1" applyFill="1" applyBorder="1"/>
    <xf numFmtId="0" fontId="18" fillId="9" borderId="26" xfId="0" applyFont="1" applyFill="1" applyBorder="1"/>
    <xf numFmtId="168" fontId="18" fillId="9" borderId="27" xfId="0" applyNumberFormat="1" applyFont="1" applyFill="1" applyBorder="1"/>
    <xf numFmtId="0" fontId="18" fillId="9" borderId="27" xfId="0" applyFont="1" applyFill="1" applyBorder="1"/>
    <xf numFmtId="168" fontId="18" fillId="9" borderId="28" xfId="0" applyNumberFormat="1" applyFont="1" applyFill="1" applyBorder="1"/>
    <xf numFmtId="0" fontId="19" fillId="0" borderId="9" xfId="0" applyFont="1" applyBorder="1"/>
    <xf numFmtId="168" fontId="19" fillId="0" borderId="12" xfId="1" applyNumberFormat="1" applyFont="1" applyBorder="1"/>
    <xf numFmtId="0" fontId="18" fillId="9" borderId="7" xfId="0" applyFont="1" applyFill="1" applyBorder="1"/>
    <xf numFmtId="168" fontId="18" fillId="9" borderId="6" xfId="1" applyNumberFormat="1" applyFont="1" applyFill="1" applyBorder="1"/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/>
    </xf>
    <xf numFmtId="168" fontId="13" fillId="0" borderId="0" xfId="1" applyNumberFormat="1" applyFont="1" applyBorder="1"/>
    <xf numFmtId="168" fontId="13" fillId="0" borderId="19" xfId="1" applyNumberFormat="1" applyFont="1" applyBorder="1"/>
    <xf numFmtId="168" fontId="10" fillId="6" borderId="0" xfId="1" applyNumberFormat="1" applyFont="1" applyFill="1" applyBorder="1" applyAlignment="1">
      <alignment horizontal="left" vertical="center" wrapText="1"/>
    </xf>
    <xf numFmtId="168" fontId="10" fillId="6" borderId="20" xfId="1" applyNumberFormat="1" applyFont="1" applyFill="1" applyBorder="1" applyAlignment="1">
      <alignment horizontal="left" vertical="center" wrapText="1"/>
    </xf>
    <xf numFmtId="168" fontId="19" fillId="0" borderId="0" xfId="0" applyNumberFormat="1" applyFont="1"/>
    <xf numFmtId="168" fontId="19" fillId="0" borderId="0" xfId="1" applyNumberFormat="1" applyFont="1"/>
    <xf numFmtId="0" fontId="22" fillId="0" borderId="0" xfId="0" applyFont="1"/>
    <xf numFmtId="0" fontId="21" fillId="9" borderId="21" xfId="0" applyFont="1" applyFill="1" applyBorder="1" applyAlignment="1">
      <alignment horizontal="left"/>
    </xf>
    <xf numFmtId="9" fontId="21" fillId="9" borderId="18" xfId="0" applyNumberFormat="1" applyFont="1" applyFill="1" applyBorder="1" applyAlignment="1">
      <alignment horizontal="right"/>
    </xf>
    <xf numFmtId="0" fontId="21" fillId="9" borderId="21" xfId="0" applyFont="1" applyFill="1" applyBorder="1"/>
    <xf numFmtId="9" fontId="21" fillId="9" borderId="18" xfId="0" applyNumberFormat="1" applyFont="1" applyFill="1" applyBorder="1"/>
    <xf numFmtId="165" fontId="5" fillId="9" borderId="21" xfId="4" applyFont="1" applyFill="1" applyBorder="1" applyAlignment="1">
      <alignment horizontal="left" vertical="center" wrapText="1"/>
    </xf>
    <xf numFmtId="168" fontId="5" fillId="9" borderId="31" xfId="4" applyNumberFormat="1" applyFont="1" applyFill="1" applyBorder="1" applyAlignment="1">
      <alignment horizontal="left" vertical="center" wrapText="1"/>
    </xf>
    <xf numFmtId="168" fontId="5" fillId="9" borderId="18" xfId="4" applyNumberFormat="1" applyFont="1" applyFill="1" applyBorder="1" applyAlignment="1">
      <alignment horizontal="left" vertical="center" wrapText="1"/>
    </xf>
    <xf numFmtId="168" fontId="5" fillId="9" borderId="31" xfId="1" applyNumberFormat="1" applyFont="1" applyFill="1" applyBorder="1" applyAlignment="1">
      <alignment horizontal="left" vertical="center" wrapText="1"/>
    </xf>
    <xf numFmtId="168" fontId="5" fillId="9" borderId="18" xfId="1" applyNumberFormat="1" applyFont="1" applyFill="1" applyBorder="1" applyAlignment="1">
      <alignment horizontal="left" vertical="center" wrapText="1"/>
    </xf>
    <xf numFmtId="165" fontId="23" fillId="6" borderId="33" xfId="7" applyFont="1" applyFill="1" applyBorder="1" applyAlignment="1">
      <alignment horizontal="left" vertical="center" wrapText="1"/>
    </xf>
    <xf numFmtId="168" fontId="23" fillId="6" borderId="0" xfId="1" applyNumberFormat="1" applyFont="1" applyFill="1" applyBorder="1" applyAlignment="1">
      <alignment horizontal="left" vertical="center" wrapText="1"/>
    </xf>
    <xf numFmtId="168" fontId="23" fillId="6" borderId="19" xfId="1" applyNumberFormat="1" applyFont="1" applyFill="1" applyBorder="1" applyAlignment="1">
      <alignment horizontal="left" vertical="center" wrapText="1"/>
    </xf>
    <xf numFmtId="165" fontId="23" fillId="6" borderId="33" xfId="6" applyFont="1" applyFill="1" applyBorder="1" applyAlignment="1">
      <alignment horizontal="left" vertical="center" wrapText="1"/>
    </xf>
    <xf numFmtId="0" fontId="24" fillId="6" borderId="0" xfId="0" applyFont="1" applyFill="1"/>
    <xf numFmtId="0" fontId="25" fillId="9" borderId="30" xfId="2" applyFont="1" applyFill="1" applyBorder="1" applyAlignment="1">
      <alignment horizontal="center" vertical="center" wrapText="1"/>
    </xf>
    <xf numFmtId="0" fontId="25" fillId="9" borderId="32" xfId="2" applyFont="1" applyFill="1" applyBorder="1" applyAlignment="1">
      <alignment horizontal="center" vertical="center" wrapText="1"/>
    </xf>
    <xf numFmtId="169" fontId="25" fillId="9" borderId="32" xfId="8" applyNumberFormat="1" applyFont="1" applyFill="1" applyBorder="1" applyAlignment="1">
      <alignment horizontal="center" vertical="center" wrapText="1"/>
    </xf>
    <xf numFmtId="169" fontId="25" fillId="9" borderId="17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/>
    <xf numFmtId="168" fontId="0" fillId="0" borderId="0" xfId="1" applyNumberFormat="1" applyFont="1" applyAlignment="1"/>
    <xf numFmtId="0" fontId="27" fillId="0" borderId="31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7" xfId="0" applyFont="1" applyBorder="1" applyAlignment="1">
      <alignment horizontal="left"/>
    </xf>
    <xf numFmtId="0" fontId="27" fillId="0" borderId="10" xfId="0" applyFont="1" applyBorder="1" applyAlignment="1"/>
    <xf numFmtId="17" fontId="27" fillId="0" borderId="36" xfId="0" applyNumberFormat="1" applyFont="1" applyBorder="1" applyAlignment="1">
      <alignment horizontal="center" vertical="center"/>
    </xf>
    <xf numFmtId="17" fontId="27" fillId="0" borderId="37" xfId="0" applyNumberFormat="1" applyFont="1" applyBorder="1" applyAlignment="1">
      <alignment horizontal="center" vertical="center"/>
    </xf>
    <xf numFmtId="0" fontId="27" fillId="0" borderId="0" xfId="0" applyFont="1"/>
    <xf numFmtId="0" fontId="27" fillId="10" borderId="0" xfId="0" applyFont="1" applyFill="1" applyAlignment="1">
      <alignment horizontal="left"/>
    </xf>
    <xf numFmtId="0" fontId="27" fillId="10" borderId="0" xfId="0" applyFont="1" applyFill="1" applyAlignment="1"/>
    <xf numFmtId="0" fontId="0" fillId="10" borderId="0" xfId="0" applyFont="1" applyFill="1" applyAlignment="1"/>
    <xf numFmtId="0" fontId="0" fillId="10" borderId="33" xfId="0" applyFont="1" applyFill="1" applyBorder="1" applyAlignment="1"/>
    <xf numFmtId="0" fontId="0" fillId="10" borderId="0" xfId="0" applyFont="1" applyFill="1" applyBorder="1" applyAlignment="1"/>
    <xf numFmtId="0" fontId="28" fillId="0" borderId="0" xfId="0" applyFont="1"/>
    <xf numFmtId="168" fontId="0" fillId="0" borderId="39" xfId="0" applyNumberFormat="1" applyFont="1" applyBorder="1" applyAlignment="1">
      <alignment horizontal="center"/>
    </xf>
    <xf numFmtId="0" fontId="0" fillId="0" borderId="40" xfId="0" applyFont="1" applyBorder="1"/>
    <xf numFmtId="168" fontId="26" fillId="0" borderId="41" xfId="1" applyNumberFormat="1" applyFont="1" applyBorder="1"/>
    <xf numFmtId="168" fontId="26" fillId="0" borderId="40" xfId="1" applyNumberFormat="1" applyFont="1" applyBorder="1"/>
    <xf numFmtId="0" fontId="29" fillId="0" borderId="0" xfId="0" applyFont="1"/>
    <xf numFmtId="168" fontId="30" fillId="0" borderId="8" xfId="0" applyNumberFormat="1" applyFont="1" applyBorder="1" applyAlignment="1">
      <alignment horizontal="center"/>
    </xf>
    <xf numFmtId="0" fontId="30" fillId="0" borderId="0" xfId="0" applyFont="1" applyBorder="1" applyAlignment="1">
      <alignment vertical="center"/>
    </xf>
    <xf numFmtId="0" fontId="0" fillId="0" borderId="0" xfId="0" applyFont="1" applyBorder="1"/>
    <xf numFmtId="168" fontId="26" fillId="0" borderId="33" xfId="1" applyNumberFormat="1" applyFont="1" applyBorder="1" applyAlignment="1">
      <alignment horizontal="center" vertical="center"/>
    </xf>
    <xf numFmtId="168" fontId="26" fillId="0" borderId="0" xfId="1" applyNumberFormat="1" applyFont="1" applyBorder="1" applyAlignment="1">
      <alignment horizontal="center" vertical="center"/>
    </xf>
    <xf numFmtId="168" fontId="26" fillId="0" borderId="0" xfId="1" applyNumberFormat="1" applyFont="1" applyBorder="1" applyAlignment="1">
      <alignment horizontal="center"/>
    </xf>
    <xf numFmtId="168" fontId="0" fillId="0" borderId="0" xfId="0" applyNumberFormat="1" applyFont="1" applyBorder="1"/>
    <xf numFmtId="168" fontId="30" fillId="0" borderId="8" xfId="0" applyNumberFormat="1" applyFont="1" applyBorder="1" applyAlignment="1">
      <alignment horizontal="center" vertical="center"/>
    </xf>
    <xf numFmtId="0" fontId="0" fillId="0" borderId="42" xfId="0" applyFont="1" applyBorder="1" applyAlignment="1">
      <alignment horizontal="left"/>
    </xf>
    <xf numFmtId="0" fontId="30" fillId="0" borderId="32" xfId="0" applyFont="1" applyBorder="1" applyAlignment="1">
      <alignment vertical="center"/>
    </xf>
    <xf numFmtId="0" fontId="0" fillId="0" borderId="32" xfId="0" applyFont="1" applyBorder="1"/>
    <xf numFmtId="168" fontId="26" fillId="0" borderId="30" xfId="1" applyNumberFormat="1" applyFont="1" applyBorder="1" applyAlignment="1">
      <alignment horizontal="center" vertical="center"/>
    </xf>
    <xf numFmtId="168" fontId="26" fillId="0" borderId="32" xfId="1" applyNumberFormat="1" applyFont="1" applyBorder="1" applyAlignment="1">
      <alignment horizontal="center" vertical="center"/>
    </xf>
    <xf numFmtId="168" fontId="26" fillId="0" borderId="32" xfId="1" applyNumberFormat="1" applyFont="1" applyBorder="1" applyAlignment="1">
      <alignment horizontal="center"/>
    </xf>
    <xf numFmtId="168" fontId="26" fillId="0" borderId="32" xfId="1" applyNumberFormat="1" applyFont="1" applyBorder="1"/>
    <xf numFmtId="0" fontId="0" fillId="0" borderId="21" xfId="0" applyFont="1" applyBorder="1" applyAlignment="1">
      <alignment horizontal="left"/>
    </xf>
    <xf numFmtId="0" fontId="30" fillId="0" borderId="31" xfId="0" applyFont="1" applyBorder="1" applyAlignment="1">
      <alignment vertical="center"/>
    </xf>
    <xf numFmtId="0" fontId="0" fillId="0" borderId="31" xfId="0" applyFont="1" applyBorder="1"/>
    <xf numFmtId="168" fontId="26" fillId="0" borderId="21" xfId="1" applyNumberFormat="1" applyFont="1" applyBorder="1" applyAlignment="1">
      <alignment horizontal="center" vertical="center"/>
    </xf>
    <xf numFmtId="168" fontId="26" fillId="0" borderId="31" xfId="1" applyNumberFormat="1" applyFont="1" applyBorder="1" applyAlignment="1">
      <alignment horizontal="center" vertical="center"/>
    </xf>
    <xf numFmtId="168" fontId="26" fillId="0" borderId="31" xfId="1" applyNumberFormat="1" applyFont="1" applyBorder="1" applyAlignment="1">
      <alignment horizontal="center"/>
    </xf>
    <xf numFmtId="168" fontId="26" fillId="0" borderId="31" xfId="1" applyNumberFormat="1" applyFont="1" applyBorder="1"/>
    <xf numFmtId="168" fontId="0" fillId="0" borderId="8" xfId="0" applyNumberFormat="1" applyFont="1" applyBorder="1" applyAlignment="1">
      <alignment horizontal="center"/>
    </xf>
    <xf numFmtId="168" fontId="26" fillId="0" borderId="0" xfId="1" applyNumberFormat="1" applyFont="1" applyBorder="1"/>
    <xf numFmtId="168" fontId="29" fillId="0" borderId="0" xfId="1" applyNumberFormat="1" applyFont="1"/>
    <xf numFmtId="168" fontId="30" fillId="0" borderId="0" xfId="0" applyNumberFormat="1" applyFont="1" applyBorder="1" applyAlignment="1">
      <alignment vertical="center"/>
    </xf>
    <xf numFmtId="168" fontId="30" fillId="0" borderId="8" xfId="0" applyNumberFormat="1" applyFont="1" applyBorder="1" applyAlignment="1">
      <alignment horizontal="left"/>
    </xf>
    <xf numFmtId="168" fontId="30" fillId="0" borderId="8" xfId="0" applyNumberFormat="1" applyFont="1" applyBorder="1" applyAlignment="1">
      <alignment horizontal="left" vertical="center"/>
    </xf>
    <xf numFmtId="0" fontId="27" fillId="10" borderId="45" xfId="0" applyFont="1" applyFill="1" applyBorder="1" applyAlignment="1">
      <alignment horizontal="left"/>
    </xf>
    <xf numFmtId="0" fontId="31" fillId="10" borderId="46" xfId="0" applyFont="1" applyFill="1" applyBorder="1" applyAlignment="1">
      <alignment vertical="center"/>
    </xf>
    <xf numFmtId="0" fontId="27" fillId="10" borderId="46" xfId="0" applyFont="1" applyFill="1" applyBorder="1"/>
    <xf numFmtId="168" fontId="27" fillId="10" borderId="47" xfId="1" applyNumberFormat="1" applyFont="1" applyFill="1" applyBorder="1" applyAlignment="1">
      <alignment horizontal="center" vertical="center"/>
    </xf>
    <xf numFmtId="168" fontId="27" fillId="10" borderId="46" xfId="1" applyNumberFormat="1" applyFont="1" applyFill="1" applyBorder="1" applyAlignment="1">
      <alignment horizontal="center" vertical="center"/>
    </xf>
    <xf numFmtId="168" fontId="27" fillId="10" borderId="46" xfId="1" applyNumberFormat="1" applyFont="1" applyFill="1" applyBorder="1" applyAlignment="1">
      <alignment horizontal="center"/>
    </xf>
    <xf numFmtId="168" fontId="27" fillId="10" borderId="46" xfId="0" applyNumberFormat="1" applyFont="1" applyFill="1" applyBorder="1"/>
    <xf numFmtId="168" fontId="27" fillId="10" borderId="46" xfId="1" applyNumberFormat="1" applyFont="1" applyFill="1" applyBorder="1"/>
    <xf numFmtId="0" fontId="27" fillId="10" borderId="44" xfId="0" applyFont="1" applyFill="1" applyBorder="1" applyAlignment="1">
      <alignment horizontal="left"/>
    </xf>
    <xf numFmtId="0" fontId="27" fillId="10" borderId="37" xfId="0" applyFont="1" applyFill="1" applyBorder="1" applyAlignment="1"/>
    <xf numFmtId="168" fontId="27" fillId="10" borderId="37" xfId="1" applyNumberFormat="1" applyFont="1" applyFill="1" applyBorder="1"/>
    <xf numFmtId="0" fontId="27" fillId="10" borderId="7" xfId="0" applyFont="1" applyFill="1" applyBorder="1" applyAlignment="1">
      <alignment horizontal="left"/>
    </xf>
    <xf numFmtId="0" fontId="27" fillId="10" borderId="10" xfId="0" applyFont="1" applyFill="1" applyBorder="1" applyAlignment="1"/>
    <xf numFmtId="0" fontId="29" fillId="6" borderId="0" xfId="0" applyFont="1" applyFill="1"/>
    <xf numFmtId="0" fontId="0" fillId="10" borderId="10" xfId="0" applyFont="1" applyFill="1" applyBorder="1" applyAlignment="1"/>
    <xf numFmtId="168" fontId="0" fillId="10" borderId="48" xfId="1" applyNumberFormat="1" applyFont="1" applyFill="1" applyBorder="1" applyAlignment="1"/>
    <xf numFmtId="168" fontId="0" fillId="10" borderId="10" xfId="1" applyNumberFormat="1" applyFont="1" applyFill="1" applyBorder="1" applyAlignment="1"/>
    <xf numFmtId="168" fontId="30" fillId="0" borderId="21" xfId="0" applyNumberFormat="1" applyFont="1" applyBorder="1" applyAlignment="1">
      <alignment horizontal="center" vertical="center"/>
    </xf>
    <xf numFmtId="168" fontId="0" fillId="0" borderId="31" xfId="0" applyNumberFormat="1" applyFont="1" applyBorder="1"/>
    <xf numFmtId="168" fontId="0" fillId="0" borderId="42" xfId="0" applyNumberFormat="1" applyFont="1" applyBorder="1" applyAlignment="1">
      <alignment horizontal="left"/>
    </xf>
    <xf numFmtId="168" fontId="30" fillId="0" borderId="32" xfId="0" applyNumberFormat="1" applyFont="1" applyBorder="1" applyAlignment="1">
      <alignment vertical="center"/>
    </xf>
    <xf numFmtId="168" fontId="0" fillId="0" borderId="32" xfId="0" applyNumberFormat="1" applyFont="1" applyBorder="1"/>
    <xf numFmtId="168" fontId="0" fillId="0" borderId="21" xfId="0" applyNumberFormat="1" applyFont="1" applyBorder="1" applyAlignment="1">
      <alignment horizontal="left"/>
    </xf>
    <xf numFmtId="168" fontId="30" fillId="0" borderId="31" xfId="0" applyNumberFormat="1" applyFont="1" applyBorder="1" applyAlignment="1">
      <alignment vertical="center"/>
    </xf>
    <xf numFmtId="168" fontId="0" fillId="0" borderId="8" xfId="0" applyNumberFormat="1" applyFont="1" applyBorder="1" applyAlignment="1">
      <alignment horizontal="left"/>
    </xf>
    <xf numFmtId="0" fontId="27" fillId="10" borderId="49" xfId="0" applyFont="1" applyFill="1" applyBorder="1" applyAlignment="1">
      <alignment horizontal="left"/>
    </xf>
    <xf numFmtId="0" fontId="31" fillId="10" borderId="20" xfId="0" applyFont="1" applyFill="1" applyBorder="1" applyAlignment="1">
      <alignment vertical="center"/>
    </xf>
    <xf numFmtId="0" fontId="27" fillId="10" borderId="20" xfId="0" applyFont="1" applyFill="1" applyBorder="1"/>
    <xf numFmtId="168" fontId="27" fillId="10" borderId="29" xfId="1" applyNumberFormat="1" applyFont="1" applyFill="1" applyBorder="1" applyAlignment="1">
      <alignment horizontal="center" vertical="center"/>
    </xf>
    <xf numFmtId="168" fontId="27" fillId="10" borderId="20" xfId="1" applyNumberFormat="1" applyFont="1" applyFill="1" applyBorder="1" applyAlignment="1">
      <alignment horizontal="center" vertical="center"/>
    </xf>
    <xf numFmtId="168" fontId="27" fillId="10" borderId="20" xfId="1" applyNumberFormat="1" applyFont="1" applyFill="1" applyBorder="1" applyAlignment="1">
      <alignment horizontal="center"/>
    </xf>
    <xf numFmtId="168" fontId="27" fillId="10" borderId="20" xfId="0" applyNumberFormat="1" applyFont="1" applyFill="1" applyBorder="1"/>
    <xf numFmtId="168" fontId="27" fillId="10" borderId="20" xfId="1" applyNumberFormat="1" applyFont="1" applyFill="1" applyBorder="1"/>
    <xf numFmtId="168" fontId="27" fillId="10" borderId="48" xfId="1" applyNumberFormat="1" applyFont="1" applyFill="1" applyBorder="1" applyAlignment="1"/>
    <xf numFmtId="168" fontId="27" fillId="10" borderId="10" xfId="1" applyNumberFormat="1" applyFont="1" applyFill="1" applyBorder="1" applyAlignment="1"/>
    <xf numFmtId="0" fontId="27" fillId="7" borderId="21" xfId="0" applyFont="1" applyFill="1" applyBorder="1" applyAlignment="1">
      <alignment horizontal="left"/>
    </xf>
    <xf numFmtId="0" fontId="27" fillId="7" borderId="32" xfId="0" applyFont="1" applyFill="1" applyBorder="1" applyAlignment="1"/>
    <xf numFmtId="168" fontId="27" fillId="7" borderId="31" xfId="1" applyNumberFormat="1" applyFont="1" applyFill="1" applyBorder="1"/>
    <xf numFmtId="0" fontId="27" fillId="7" borderId="31" xfId="0" applyFont="1" applyFill="1" applyBorder="1"/>
    <xf numFmtId="168" fontId="32" fillId="0" borderId="0" xfId="1" applyNumberFormat="1" applyFont="1"/>
    <xf numFmtId="0" fontId="32" fillId="0" borderId="0" xfId="0" applyFont="1"/>
    <xf numFmtId="0" fontId="0" fillId="0" borderId="0" xfId="0" applyFont="1"/>
    <xf numFmtId="0" fontId="33" fillId="0" borderId="0" xfId="0" applyFont="1" applyAlignment="1">
      <alignment horizontal="left"/>
    </xf>
    <xf numFmtId="168" fontId="27" fillId="11" borderId="35" xfId="1" applyNumberFormat="1" applyFont="1" applyFill="1" applyBorder="1" applyAlignment="1">
      <alignment horizontal="center" vertical="center"/>
    </xf>
    <xf numFmtId="168" fontId="27" fillId="11" borderId="38" xfId="1" applyNumberFormat="1" applyFont="1" applyFill="1" applyBorder="1" applyAlignment="1">
      <alignment horizontal="center" vertical="center"/>
    </xf>
    <xf numFmtId="168" fontId="0" fillId="11" borderId="11" xfId="1" applyNumberFormat="1" applyFont="1" applyFill="1" applyBorder="1" applyAlignment="1"/>
    <xf numFmtId="168" fontId="0" fillId="11" borderId="5" xfId="1" applyNumberFormat="1" applyFont="1" applyFill="1" applyBorder="1"/>
    <xf numFmtId="168" fontId="0" fillId="11" borderId="11" xfId="1" applyNumberFormat="1" applyFont="1" applyFill="1" applyBorder="1"/>
    <xf numFmtId="168" fontId="26" fillId="11" borderId="13" xfId="1" applyNumberFormat="1" applyFont="1" applyFill="1" applyBorder="1"/>
    <xf numFmtId="168" fontId="0" fillId="11" borderId="43" xfId="1" applyNumberFormat="1" applyFont="1" applyFill="1" applyBorder="1"/>
    <xf numFmtId="168" fontId="26" fillId="11" borderId="11" xfId="1" applyNumberFormat="1" applyFont="1" applyFill="1" applyBorder="1"/>
    <xf numFmtId="168" fontId="26" fillId="11" borderId="43" xfId="1" applyNumberFormat="1" applyFont="1" applyFill="1" applyBorder="1"/>
    <xf numFmtId="168" fontId="26" fillId="11" borderId="38" xfId="1" applyNumberFormat="1" applyFont="1" applyFill="1" applyBorder="1"/>
    <xf numFmtId="168" fontId="27" fillId="11" borderId="35" xfId="1" applyNumberFormat="1" applyFont="1" applyFill="1" applyBorder="1"/>
    <xf numFmtId="168" fontId="27" fillId="11" borderId="38" xfId="1" applyNumberFormat="1" applyFont="1" applyFill="1" applyBorder="1"/>
    <xf numFmtId="168" fontId="27" fillId="11" borderId="50" xfId="1" applyNumberFormat="1" applyFont="1" applyFill="1" applyBorder="1"/>
    <xf numFmtId="168" fontId="27" fillId="11" borderId="6" xfId="1" applyNumberFormat="1" applyFont="1" applyFill="1" applyBorder="1" applyAlignment="1"/>
    <xf numFmtId="168" fontId="27" fillId="11" borderId="43" xfId="1" applyNumberFormat="1" applyFont="1" applyFill="1" applyBorder="1"/>
    <xf numFmtId="165" fontId="6" fillId="6" borderId="0" xfId="6" applyFill="1" applyAlignment="1">
      <alignment horizontal="left" vertical="center" wrapText="1"/>
    </xf>
    <xf numFmtId="165" fontId="6" fillId="6" borderId="0" xfId="6" applyFill="1">
      <alignment horizontal="right" vertical="center" wrapText="1"/>
    </xf>
    <xf numFmtId="165" fontId="7" fillId="6" borderId="0" xfId="7" applyFill="1" applyAlignment="1">
      <alignment horizontal="left" vertical="center" wrapText="1"/>
    </xf>
    <xf numFmtId="165" fontId="7" fillId="6" borderId="0" xfId="7" applyFill="1" applyAlignment="1">
      <alignment horizontal="right" vertical="center" wrapText="1"/>
    </xf>
    <xf numFmtId="0" fontId="0" fillId="6" borderId="0" xfId="0" applyFill="1" applyAlignment="1">
      <alignment vertical="center"/>
    </xf>
    <xf numFmtId="0" fontId="0" fillId="6" borderId="0" xfId="0" applyFill="1"/>
    <xf numFmtId="165" fontId="20" fillId="6" borderId="0" xfId="6" applyFont="1" applyFill="1">
      <alignment horizontal="right" vertical="center" wrapText="1"/>
    </xf>
    <xf numFmtId="165" fontId="20" fillId="6" borderId="0" xfId="7" applyFont="1" applyFill="1" applyAlignment="1">
      <alignment horizontal="right" vertical="center" wrapText="1"/>
    </xf>
    <xf numFmtId="165" fontId="4" fillId="6" borderId="0" xfId="3" applyFill="1" applyAlignment="1">
      <alignment horizontal="left" vertical="center" wrapText="1"/>
    </xf>
    <xf numFmtId="165" fontId="4" fillId="6" borderId="0" xfId="3" applyFill="1" applyAlignment="1">
      <alignment horizontal="right" vertical="center" wrapText="1"/>
    </xf>
    <xf numFmtId="168" fontId="0" fillId="0" borderId="6" xfId="1" applyNumberFormat="1" applyFont="1" applyBorder="1"/>
    <xf numFmtId="168" fontId="0" fillId="0" borderId="0" xfId="1" applyNumberFormat="1" applyFont="1" applyBorder="1" applyAlignment="1">
      <alignment horizontal="center"/>
    </xf>
    <xf numFmtId="168" fontId="0" fillId="0" borderId="6" xfId="0" applyNumberFormat="1" applyBorder="1"/>
    <xf numFmtId="168" fontId="0" fillId="0" borderId="12" xfId="1" applyNumberFormat="1" applyFont="1" applyBorder="1"/>
    <xf numFmtId="168" fontId="0" fillId="0" borderId="5" xfId="1" applyNumberFormat="1" applyFont="1" applyBorder="1"/>
    <xf numFmtId="0" fontId="0" fillId="0" borderId="0" xfId="0" applyFill="1" applyBorder="1"/>
    <xf numFmtId="165" fontId="4" fillId="4" borderId="30" xfId="4" applyBorder="1" applyAlignment="1">
      <alignment horizontal="left" vertical="center" wrapText="1"/>
    </xf>
    <xf numFmtId="165" fontId="4" fillId="4" borderId="32" xfId="4" applyBorder="1" applyAlignment="1">
      <alignment horizontal="right" vertical="center" wrapText="1"/>
    </xf>
    <xf numFmtId="165" fontId="4" fillId="4" borderId="17" xfId="4" applyBorder="1" applyAlignment="1">
      <alignment horizontal="right" vertical="center" wrapText="1"/>
    </xf>
    <xf numFmtId="165" fontId="5" fillId="5" borderId="29" xfId="5" applyBorder="1" applyAlignment="1">
      <alignment horizontal="left" vertical="center" wrapText="1"/>
    </xf>
    <xf numFmtId="165" fontId="5" fillId="5" borderId="20" xfId="5" applyBorder="1" applyAlignment="1">
      <alignment horizontal="right" vertical="center" wrapText="1"/>
    </xf>
    <xf numFmtId="165" fontId="5" fillId="5" borderId="34" xfId="5" applyBorder="1" applyAlignment="1">
      <alignment horizontal="righ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27" fillId="0" borderId="2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18" fillId="9" borderId="7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18" fillId="9" borderId="2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0">
    <cellStyle name="Line_Detail" xfId="6" xr:uid="{013BA9B6-8A6D-4718-A174-926EA5773EEA}"/>
    <cellStyle name="Line_Detail2" xfId="7" xr:uid="{C18A134E-DCAD-49F5-B496-CB1460A8647C}"/>
    <cellStyle name="Line_Hedear" xfId="2" xr:uid="{D38B2C3A-6462-496D-A5AE-390809DBC8F8}"/>
    <cellStyle name="Line_Solde" xfId="3" xr:uid="{F89BE951-34D2-4FA1-BCC5-A6F610FA2CFA}"/>
    <cellStyle name="Line_Solde2" xfId="4" xr:uid="{850D741B-855B-4244-B40C-4FD2C8D6FB95}"/>
    <cellStyle name="Line_Total1" xfId="5" xr:uid="{997D327A-75AD-4EB9-AA67-ABD33EC374C6}"/>
    <cellStyle name="Line_Total2" xfId="9" xr:uid="{CBA510EF-5424-43CE-9C68-D96A7FAB2D29}"/>
    <cellStyle name="Milliers" xfId="1" builtinId="3"/>
    <cellStyle name="Normal" xfId="0" builtinId="0"/>
    <cellStyle name="Pourcentage" xfId="8" builtinId="5"/>
  </cellStyles>
  <dxfs count="0"/>
  <tableStyles count="0" defaultTableStyle="TableStyleMedium2" defaultPivotStyle="PivotStyleLight16"/>
  <colors>
    <mruColors>
      <color rgb="FF07F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02"/>
  <sheetViews>
    <sheetView showGridLines="0" zoomScaleNormal="100" workbookViewId="0">
      <selection activeCell="A24" sqref="A24"/>
    </sheetView>
  </sheetViews>
  <sheetFormatPr baseColWidth="10" defaultColWidth="9.1640625" defaultRowHeight="15"/>
  <cols>
    <col min="1" max="1" width="43" style="1" bestFit="1" customWidth="1"/>
    <col min="2" max="2" width="12.33203125" style="12" bestFit="1" customWidth="1"/>
    <col min="3" max="3" width="8.1640625" style="12" bestFit="1" customWidth="1"/>
    <col min="4" max="4" width="12.33203125" style="12" bestFit="1" customWidth="1"/>
    <col min="5" max="5" width="9.1640625" style="38"/>
    <col min="6" max="6" width="12.33203125" style="1" bestFit="1" customWidth="1"/>
    <col min="7" max="7" width="9.1640625" style="39"/>
    <col min="8" max="256" width="9.1640625" style="1"/>
    <col min="257" max="257" width="44.6640625" style="1" customWidth="1"/>
    <col min="258" max="258" width="16.6640625" style="1" customWidth="1"/>
    <col min="259" max="259" width="9.1640625" style="1"/>
    <col min="260" max="260" width="16.6640625" style="1" customWidth="1"/>
    <col min="261" max="261" width="9.1640625" style="1"/>
    <col min="262" max="262" width="16.6640625" style="1" customWidth="1"/>
    <col min="263" max="512" width="9.1640625" style="1"/>
    <col min="513" max="513" width="44.6640625" style="1" customWidth="1"/>
    <col min="514" max="514" width="16.6640625" style="1" customWidth="1"/>
    <col min="515" max="515" width="9.1640625" style="1"/>
    <col min="516" max="516" width="16.6640625" style="1" customWidth="1"/>
    <col min="517" max="517" width="9.1640625" style="1"/>
    <col min="518" max="518" width="16.6640625" style="1" customWidth="1"/>
    <col min="519" max="768" width="9.1640625" style="1"/>
    <col min="769" max="769" width="44.6640625" style="1" customWidth="1"/>
    <col min="770" max="770" width="16.6640625" style="1" customWidth="1"/>
    <col min="771" max="771" width="9.1640625" style="1"/>
    <col min="772" max="772" width="16.6640625" style="1" customWidth="1"/>
    <col min="773" max="773" width="9.1640625" style="1"/>
    <col min="774" max="774" width="16.6640625" style="1" customWidth="1"/>
    <col min="775" max="1024" width="9.1640625" style="1"/>
    <col min="1025" max="1025" width="44.6640625" style="1" customWidth="1"/>
    <col min="1026" max="1026" width="16.6640625" style="1" customWidth="1"/>
    <col min="1027" max="1027" width="9.1640625" style="1"/>
    <col min="1028" max="1028" width="16.6640625" style="1" customWidth="1"/>
    <col min="1029" max="1029" width="9.1640625" style="1"/>
    <col min="1030" max="1030" width="16.6640625" style="1" customWidth="1"/>
    <col min="1031" max="1280" width="9.1640625" style="1"/>
    <col min="1281" max="1281" width="44.6640625" style="1" customWidth="1"/>
    <col min="1282" max="1282" width="16.6640625" style="1" customWidth="1"/>
    <col min="1283" max="1283" width="9.1640625" style="1"/>
    <col min="1284" max="1284" width="16.6640625" style="1" customWidth="1"/>
    <col min="1285" max="1285" width="9.1640625" style="1"/>
    <col min="1286" max="1286" width="16.6640625" style="1" customWidth="1"/>
    <col min="1287" max="1536" width="9.1640625" style="1"/>
    <col min="1537" max="1537" width="44.6640625" style="1" customWidth="1"/>
    <col min="1538" max="1538" width="16.6640625" style="1" customWidth="1"/>
    <col min="1539" max="1539" width="9.1640625" style="1"/>
    <col min="1540" max="1540" width="16.6640625" style="1" customWidth="1"/>
    <col min="1541" max="1541" width="9.1640625" style="1"/>
    <col min="1542" max="1542" width="16.6640625" style="1" customWidth="1"/>
    <col min="1543" max="1792" width="9.1640625" style="1"/>
    <col min="1793" max="1793" width="44.6640625" style="1" customWidth="1"/>
    <col min="1794" max="1794" width="16.6640625" style="1" customWidth="1"/>
    <col min="1795" max="1795" width="9.1640625" style="1"/>
    <col min="1796" max="1796" width="16.6640625" style="1" customWidth="1"/>
    <col min="1797" max="1797" width="9.1640625" style="1"/>
    <col min="1798" max="1798" width="16.6640625" style="1" customWidth="1"/>
    <col min="1799" max="2048" width="9.1640625" style="1"/>
    <col min="2049" max="2049" width="44.6640625" style="1" customWidth="1"/>
    <col min="2050" max="2050" width="16.6640625" style="1" customWidth="1"/>
    <col min="2051" max="2051" width="9.1640625" style="1"/>
    <col min="2052" max="2052" width="16.6640625" style="1" customWidth="1"/>
    <col min="2053" max="2053" width="9.1640625" style="1"/>
    <col min="2054" max="2054" width="16.6640625" style="1" customWidth="1"/>
    <col min="2055" max="2304" width="9.1640625" style="1"/>
    <col min="2305" max="2305" width="44.6640625" style="1" customWidth="1"/>
    <col min="2306" max="2306" width="16.6640625" style="1" customWidth="1"/>
    <col min="2307" max="2307" width="9.1640625" style="1"/>
    <col min="2308" max="2308" width="16.6640625" style="1" customWidth="1"/>
    <col min="2309" max="2309" width="9.1640625" style="1"/>
    <col min="2310" max="2310" width="16.6640625" style="1" customWidth="1"/>
    <col min="2311" max="2560" width="9.1640625" style="1"/>
    <col min="2561" max="2561" width="44.6640625" style="1" customWidth="1"/>
    <col min="2562" max="2562" width="16.6640625" style="1" customWidth="1"/>
    <col min="2563" max="2563" width="9.1640625" style="1"/>
    <col min="2564" max="2564" width="16.6640625" style="1" customWidth="1"/>
    <col min="2565" max="2565" width="9.1640625" style="1"/>
    <col min="2566" max="2566" width="16.6640625" style="1" customWidth="1"/>
    <col min="2567" max="2816" width="9.1640625" style="1"/>
    <col min="2817" max="2817" width="44.6640625" style="1" customWidth="1"/>
    <col min="2818" max="2818" width="16.6640625" style="1" customWidth="1"/>
    <col min="2819" max="2819" width="9.1640625" style="1"/>
    <col min="2820" max="2820" width="16.6640625" style="1" customWidth="1"/>
    <col min="2821" max="2821" width="9.1640625" style="1"/>
    <col min="2822" max="2822" width="16.6640625" style="1" customWidth="1"/>
    <col min="2823" max="3072" width="9.1640625" style="1"/>
    <col min="3073" max="3073" width="44.6640625" style="1" customWidth="1"/>
    <col min="3074" max="3074" width="16.6640625" style="1" customWidth="1"/>
    <col min="3075" max="3075" width="9.1640625" style="1"/>
    <col min="3076" max="3076" width="16.6640625" style="1" customWidth="1"/>
    <col min="3077" max="3077" width="9.1640625" style="1"/>
    <col min="3078" max="3078" width="16.6640625" style="1" customWidth="1"/>
    <col min="3079" max="3328" width="9.1640625" style="1"/>
    <col min="3329" max="3329" width="44.6640625" style="1" customWidth="1"/>
    <col min="3330" max="3330" width="16.6640625" style="1" customWidth="1"/>
    <col min="3331" max="3331" width="9.1640625" style="1"/>
    <col min="3332" max="3332" width="16.6640625" style="1" customWidth="1"/>
    <col min="3333" max="3333" width="9.1640625" style="1"/>
    <col min="3334" max="3334" width="16.6640625" style="1" customWidth="1"/>
    <col min="3335" max="3584" width="9.1640625" style="1"/>
    <col min="3585" max="3585" width="44.6640625" style="1" customWidth="1"/>
    <col min="3586" max="3586" width="16.6640625" style="1" customWidth="1"/>
    <col min="3587" max="3587" width="9.1640625" style="1"/>
    <col min="3588" max="3588" width="16.6640625" style="1" customWidth="1"/>
    <col min="3589" max="3589" width="9.1640625" style="1"/>
    <col min="3590" max="3590" width="16.6640625" style="1" customWidth="1"/>
    <col min="3591" max="3840" width="9.1640625" style="1"/>
    <col min="3841" max="3841" width="44.6640625" style="1" customWidth="1"/>
    <col min="3842" max="3842" width="16.6640625" style="1" customWidth="1"/>
    <col min="3843" max="3843" width="9.1640625" style="1"/>
    <col min="3844" max="3844" width="16.6640625" style="1" customWidth="1"/>
    <col min="3845" max="3845" width="9.1640625" style="1"/>
    <col min="3846" max="3846" width="16.6640625" style="1" customWidth="1"/>
    <col min="3847" max="4096" width="9.1640625" style="1"/>
    <col min="4097" max="4097" width="44.6640625" style="1" customWidth="1"/>
    <col min="4098" max="4098" width="16.6640625" style="1" customWidth="1"/>
    <col min="4099" max="4099" width="9.1640625" style="1"/>
    <col min="4100" max="4100" width="16.6640625" style="1" customWidth="1"/>
    <col min="4101" max="4101" width="9.1640625" style="1"/>
    <col min="4102" max="4102" width="16.6640625" style="1" customWidth="1"/>
    <col min="4103" max="4352" width="9.1640625" style="1"/>
    <col min="4353" max="4353" width="44.6640625" style="1" customWidth="1"/>
    <col min="4354" max="4354" width="16.6640625" style="1" customWidth="1"/>
    <col min="4355" max="4355" width="9.1640625" style="1"/>
    <col min="4356" max="4356" width="16.6640625" style="1" customWidth="1"/>
    <col min="4357" max="4357" width="9.1640625" style="1"/>
    <col min="4358" max="4358" width="16.6640625" style="1" customWidth="1"/>
    <col min="4359" max="4608" width="9.1640625" style="1"/>
    <col min="4609" max="4609" width="44.6640625" style="1" customWidth="1"/>
    <col min="4610" max="4610" width="16.6640625" style="1" customWidth="1"/>
    <col min="4611" max="4611" width="9.1640625" style="1"/>
    <col min="4612" max="4612" width="16.6640625" style="1" customWidth="1"/>
    <col min="4613" max="4613" width="9.1640625" style="1"/>
    <col min="4614" max="4614" width="16.6640625" style="1" customWidth="1"/>
    <col min="4615" max="4864" width="9.1640625" style="1"/>
    <col min="4865" max="4865" width="44.6640625" style="1" customWidth="1"/>
    <col min="4866" max="4866" width="16.6640625" style="1" customWidth="1"/>
    <col min="4867" max="4867" width="9.1640625" style="1"/>
    <col min="4868" max="4868" width="16.6640625" style="1" customWidth="1"/>
    <col min="4869" max="4869" width="9.1640625" style="1"/>
    <col min="4870" max="4870" width="16.6640625" style="1" customWidth="1"/>
    <col min="4871" max="5120" width="9.1640625" style="1"/>
    <col min="5121" max="5121" width="44.6640625" style="1" customWidth="1"/>
    <col min="5122" max="5122" width="16.6640625" style="1" customWidth="1"/>
    <col min="5123" max="5123" width="9.1640625" style="1"/>
    <col min="5124" max="5124" width="16.6640625" style="1" customWidth="1"/>
    <col min="5125" max="5125" width="9.1640625" style="1"/>
    <col min="5126" max="5126" width="16.6640625" style="1" customWidth="1"/>
    <col min="5127" max="5376" width="9.1640625" style="1"/>
    <col min="5377" max="5377" width="44.6640625" style="1" customWidth="1"/>
    <col min="5378" max="5378" width="16.6640625" style="1" customWidth="1"/>
    <col min="5379" max="5379" width="9.1640625" style="1"/>
    <col min="5380" max="5380" width="16.6640625" style="1" customWidth="1"/>
    <col min="5381" max="5381" width="9.1640625" style="1"/>
    <col min="5382" max="5382" width="16.6640625" style="1" customWidth="1"/>
    <col min="5383" max="5632" width="9.1640625" style="1"/>
    <col min="5633" max="5633" width="44.6640625" style="1" customWidth="1"/>
    <col min="5634" max="5634" width="16.6640625" style="1" customWidth="1"/>
    <col min="5635" max="5635" width="9.1640625" style="1"/>
    <col min="5636" max="5636" width="16.6640625" style="1" customWidth="1"/>
    <col min="5637" max="5637" width="9.1640625" style="1"/>
    <col min="5638" max="5638" width="16.6640625" style="1" customWidth="1"/>
    <col min="5639" max="5888" width="9.1640625" style="1"/>
    <col min="5889" max="5889" width="44.6640625" style="1" customWidth="1"/>
    <col min="5890" max="5890" width="16.6640625" style="1" customWidth="1"/>
    <col min="5891" max="5891" width="9.1640625" style="1"/>
    <col min="5892" max="5892" width="16.6640625" style="1" customWidth="1"/>
    <col min="5893" max="5893" width="9.1640625" style="1"/>
    <col min="5894" max="5894" width="16.6640625" style="1" customWidth="1"/>
    <col min="5895" max="6144" width="9.1640625" style="1"/>
    <col min="6145" max="6145" width="44.6640625" style="1" customWidth="1"/>
    <col min="6146" max="6146" width="16.6640625" style="1" customWidth="1"/>
    <col min="6147" max="6147" width="9.1640625" style="1"/>
    <col min="6148" max="6148" width="16.6640625" style="1" customWidth="1"/>
    <col min="6149" max="6149" width="9.1640625" style="1"/>
    <col min="6150" max="6150" width="16.6640625" style="1" customWidth="1"/>
    <col min="6151" max="6400" width="9.1640625" style="1"/>
    <col min="6401" max="6401" width="44.6640625" style="1" customWidth="1"/>
    <col min="6402" max="6402" width="16.6640625" style="1" customWidth="1"/>
    <col min="6403" max="6403" width="9.1640625" style="1"/>
    <col min="6404" max="6404" width="16.6640625" style="1" customWidth="1"/>
    <col min="6405" max="6405" width="9.1640625" style="1"/>
    <col min="6406" max="6406" width="16.6640625" style="1" customWidth="1"/>
    <col min="6407" max="6656" width="9.1640625" style="1"/>
    <col min="6657" max="6657" width="44.6640625" style="1" customWidth="1"/>
    <col min="6658" max="6658" width="16.6640625" style="1" customWidth="1"/>
    <col min="6659" max="6659" width="9.1640625" style="1"/>
    <col min="6660" max="6660" width="16.6640625" style="1" customWidth="1"/>
    <col min="6661" max="6661" width="9.1640625" style="1"/>
    <col min="6662" max="6662" width="16.6640625" style="1" customWidth="1"/>
    <col min="6663" max="6912" width="9.1640625" style="1"/>
    <col min="6913" max="6913" width="44.6640625" style="1" customWidth="1"/>
    <col min="6914" max="6914" width="16.6640625" style="1" customWidth="1"/>
    <col min="6915" max="6915" width="9.1640625" style="1"/>
    <col min="6916" max="6916" width="16.6640625" style="1" customWidth="1"/>
    <col min="6917" max="6917" width="9.1640625" style="1"/>
    <col min="6918" max="6918" width="16.6640625" style="1" customWidth="1"/>
    <col min="6919" max="7168" width="9.1640625" style="1"/>
    <col min="7169" max="7169" width="44.6640625" style="1" customWidth="1"/>
    <col min="7170" max="7170" width="16.6640625" style="1" customWidth="1"/>
    <col min="7171" max="7171" width="9.1640625" style="1"/>
    <col min="7172" max="7172" width="16.6640625" style="1" customWidth="1"/>
    <col min="7173" max="7173" width="9.1640625" style="1"/>
    <col min="7174" max="7174" width="16.6640625" style="1" customWidth="1"/>
    <col min="7175" max="7424" width="9.1640625" style="1"/>
    <col min="7425" max="7425" width="44.6640625" style="1" customWidth="1"/>
    <col min="7426" max="7426" width="16.6640625" style="1" customWidth="1"/>
    <col min="7427" max="7427" width="9.1640625" style="1"/>
    <col min="7428" max="7428" width="16.6640625" style="1" customWidth="1"/>
    <col min="7429" max="7429" width="9.1640625" style="1"/>
    <col min="7430" max="7430" width="16.6640625" style="1" customWidth="1"/>
    <col min="7431" max="7680" width="9.1640625" style="1"/>
    <col min="7681" max="7681" width="44.6640625" style="1" customWidth="1"/>
    <col min="7682" max="7682" width="16.6640625" style="1" customWidth="1"/>
    <col min="7683" max="7683" width="9.1640625" style="1"/>
    <col min="7684" max="7684" width="16.6640625" style="1" customWidth="1"/>
    <col min="7685" max="7685" width="9.1640625" style="1"/>
    <col min="7686" max="7686" width="16.6640625" style="1" customWidth="1"/>
    <col min="7687" max="7936" width="9.1640625" style="1"/>
    <col min="7937" max="7937" width="44.6640625" style="1" customWidth="1"/>
    <col min="7938" max="7938" width="16.6640625" style="1" customWidth="1"/>
    <col min="7939" max="7939" width="9.1640625" style="1"/>
    <col min="7940" max="7940" width="16.6640625" style="1" customWidth="1"/>
    <col min="7941" max="7941" width="9.1640625" style="1"/>
    <col min="7942" max="7942" width="16.6640625" style="1" customWidth="1"/>
    <col min="7943" max="8192" width="9.1640625" style="1"/>
    <col min="8193" max="8193" width="44.6640625" style="1" customWidth="1"/>
    <col min="8194" max="8194" width="16.6640625" style="1" customWidth="1"/>
    <col min="8195" max="8195" width="9.1640625" style="1"/>
    <col min="8196" max="8196" width="16.6640625" style="1" customWidth="1"/>
    <col min="8197" max="8197" width="9.1640625" style="1"/>
    <col min="8198" max="8198" width="16.6640625" style="1" customWidth="1"/>
    <col min="8199" max="8448" width="9.1640625" style="1"/>
    <col min="8449" max="8449" width="44.6640625" style="1" customWidth="1"/>
    <col min="8450" max="8450" width="16.6640625" style="1" customWidth="1"/>
    <col min="8451" max="8451" width="9.1640625" style="1"/>
    <col min="8452" max="8452" width="16.6640625" style="1" customWidth="1"/>
    <col min="8453" max="8453" width="9.1640625" style="1"/>
    <col min="8454" max="8454" width="16.6640625" style="1" customWidth="1"/>
    <col min="8455" max="8704" width="9.1640625" style="1"/>
    <col min="8705" max="8705" width="44.6640625" style="1" customWidth="1"/>
    <col min="8706" max="8706" width="16.6640625" style="1" customWidth="1"/>
    <col min="8707" max="8707" width="9.1640625" style="1"/>
    <col min="8708" max="8708" width="16.6640625" style="1" customWidth="1"/>
    <col min="8709" max="8709" width="9.1640625" style="1"/>
    <col min="8710" max="8710" width="16.6640625" style="1" customWidth="1"/>
    <col min="8711" max="8960" width="9.1640625" style="1"/>
    <col min="8961" max="8961" width="44.6640625" style="1" customWidth="1"/>
    <col min="8962" max="8962" width="16.6640625" style="1" customWidth="1"/>
    <col min="8963" max="8963" width="9.1640625" style="1"/>
    <col min="8964" max="8964" width="16.6640625" style="1" customWidth="1"/>
    <col min="8965" max="8965" width="9.1640625" style="1"/>
    <col min="8966" max="8966" width="16.6640625" style="1" customWidth="1"/>
    <col min="8967" max="9216" width="9.1640625" style="1"/>
    <col min="9217" max="9217" width="44.6640625" style="1" customWidth="1"/>
    <col min="9218" max="9218" width="16.6640625" style="1" customWidth="1"/>
    <col min="9219" max="9219" width="9.1640625" style="1"/>
    <col min="9220" max="9220" width="16.6640625" style="1" customWidth="1"/>
    <col min="9221" max="9221" width="9.1640625" style="1"/>
    <col min="9222" max="9222" width="16.6640625" style="1" customWidth="1"/>
    <col min="9223" max="9472" width="9.1640625" style="1"/>
    <col min="9473" max="9473" width="44.6640625" style="1" customWidth="1"/>
    <col min="9474" max="9474" width="16.6640625" style="1" customWidth="1"/>
    <col min="9475" max="9475" width="9.1640625" style="1"/>
    <col min="9476" max="9476" width="16.6640625" style="1" customWidth="1"/>
    <col min="9477" max="9477" width="9.1640625" style="1"/>
    <col min="9478" max="9478" width="16.6640625" style="1" customWidth="1"/>
    <col min="9479" max="9728" width="9.1640625" style="1"/>
    <col min="9729" max="9729" width="44.6640625" style="1" customWidth="1"/>
    <col min="9730" max="9730" width="16.6640625" style="1" customWidth="1"/>
    <col min="9731" max="9731" width="9.1640625" style="1"/>
    <col min="9732" max="9732" width="16.6640625" style="1" customWidth="1"/>
    <col min="9733" max="9733" width="9.1640625" style="1"/>
    <col min="9734" max="9734" width="16.6640625" style="1" customWidth="1"/>
    <col min="9735" max="9984" width="9.1640625" style="1"/>
    <col min="9985" max="9985" width="44.6640625" style="1" customWidth="1"/>
    <col min="9986" max="9986" width="16.6640625" style="1" customWidth="1"/>
    <col min="9987" max="9987" width="9.1640625" style="1"/>
    <col min="9988" max="9988" width="16.6640625" style="1" customWidth="1"/>
    <col min="9989" max="9989" width="9.1640625" style="1"/>
    <col min="9990" max="9990" width="16.6640625" style="1" customWidth="1"/>
    <col min="9991" max="10240" width="9.1640625" style="1"/>
    <col min="10241" max="10241" width="44.6640625" style="1" customWidth="1"/>
    <col min="10242" max="10242" width="16.6640625" style="1" customWidth="1"/>
    <col min="10243" max="10243" width="9.1640625" style="1"/>
    <col min="10244" max="10244" width="16.6640625" style="1" customWidth="1"/>
    <col min="10245" max="10245" width="9.1640625" style="1"/>
    <col min="10246" max="10246" width="16.6640625" style="1" customWidth="1"/>
    <col min="10247" max="10496" width="9.1640625" style="1"/>
    <col min="10497" max="10497" width="44.6640625" style="1" customWidth="1"/>
    <col min="10498" max="10498" width="16.6640625" style="1" customWidth="1"/>
    <col min="10499" max="10499" width="9.1640625" style="1"/>
    <col min="10500" max="10500" width="16.6640625" style="1" customWidth="1"/>
    <col min="10501" max="10501" width="9.1640625" style="1"/>
    <col min="10502" max="10502" width="16.6640625" style="1" customWidth="1"/>
    <col min="10503" max="10752" width="9.1640625" style="1"/>
    <col min="10753" max="10753" width="44.6640625" style="1" customWidth="1"/>
    <col min="10754" max="10754" width="16.6640625" style="1" customWidth="1"/>
    <col min="10755" max="10755" width="9.1640625" style="1"/>
    <col min="10756" max="10756" width="16.6640625" style="1" customWidth="1"/>
    <col min="10757" max="10757" width="9.1640625" style="1"/>
    <col min="10758" max="10758" width="16.6640625" style="1" customWidth="1"/>
    <col min="10759" max="11008" width="9.1640625" style="1"/>
    <col min="11009" max="11009" width="44.6640625" style="1" customWidth="1"/>
    <col min="11010" max="11010" width="16.6640625" style="1" customWidth="1"/>
    <col min="11011" max="11011" width="9.1640625" style="1"/>
    <col min="11012" max="11012" width="16.6640625" style="1" customWidth="1"/>
    <col min="11013" max="11013" width="9.1640625" style="1"/>
    <col min="11014" max="11014" width="16.6640625" style="1" customWidth="1"/>
    <col min="11015" max="11264" width="9.1640625" style="1"/>
    <col min="11265" max="11265" width="44.6640625" style="1" customWidth="1"/>
    <col min="11266" max="11266" width="16.6640625" style="1" customWidth="1"/>
    <col min="11267" max="11267" width="9.1640625" style="1"/>
    <col min="11268" max="11268" width="16.6640625" style="1" customWidth="1"/>
    <col min="11269" max="11269" width="9.1640625" style="1"/>
    <col min="11270" max="11270" width="16.6640625" style="1" customWidth="1"/>
    <col min="11271" max="11520" width="9.1640625" style="1"/>
    <col min="11521" max="11521" width="44.6640625" style="1" customWidth="1"/>
    <col min="11522" max="11522" width="16.6640625" style="1" customWidth="1"/>
    <col min="11523" max="11523" width="9.1640625" style="1"/>
    <col min="11524" max="11524" width="16.6640625" style="1" customWidth="1"/>
    <col min="11525" max="11525" width="9.1640625" style="1"/>
    <col min="11526" max="11526" width="16.6640625" style="1" customWidth="1"/>
    <col min="11527" max="11776" width="9.1640625" style="1"/>
    <col min="11777" max="11777" width="44.6640625" style="1" customWidth="1"/>
    <col min="11778" max="11778" width="16.6640625" style="1" customWidth="1"/>
    <col min="11779" max="11779" width="9.1640625" style="1"/>
    <col min="11780" max="11780" width="16.6640625" style="1" customWidth="1"/>
    <col min="11781" max="11781" width="9.1640625" style="1"/>
    <col min="11782" max="11782" width="16.6640625" style="1" customWidth="1"/>
    <col min="11783" max="12032" width="9.1640625" style="1"/>
    <col min="12033" max="12033" width="44.6640625" style="1" customWidth="1"/>
    <col min="12034" max="12034" width="16.6640625" style="1" customWidth="1"/>
    <col min="12035" max="12035" width="9.1640625" style="1"/>
    <col min="12036" max="12036" width="16.6640625" style="1" customWidth="1"/>
    <col min="12037" max="12037" width="9.1640625" style="1"/>
    <col min="12038" max="12038" width="16.6640625" style="1" customWidth="1"/>
    <col min="12039" max="12288" width="9.1640625" style="1"/>
    <col min="12289" max="12289" width="44.6640625" style="1" customWidth="1"/>
    <col min="12290" max="12290" width="16.6640625" style="1" customWidth="1"/>
    <col min="12291" max="12291" width="9.1640625" style="1"/>
    <col min="12292" max="12292" width="16.6640625" style="1" customWidth="1"/>
    <col min="12293" max="12293" width="9.1640625" style="1"/>
    <col min="12294" max="12294" width="16.6640625" style="1" customWidth="1"/>
    <col min="12295" max="12544" width="9.1640625" style="1"/>
    <col min="12545" max="12545" width="44.6640625" style="1" customWidth="1"/>
    <col min="12546" max="12546" width="16.6640625" style="1" customWidth="1"/>
    <col min="12547" max="12547" width="9.1640625" style="1"/>
    <col min="12548" max="12548" width="16.6640625" style="1" customWidth="1"/>
    <col min="12549" max="12549" width="9.1640625" style="1"/>
    <col min="12550" max="12550" width="16.6640625" style="1" customWidth="1"/>
    <col min="12551" max="12800" width="9.1640625" style="1"/>
    <col min="12801" max="12801" width="44.6640625" style="1" customWidth="1"/>
    <col min="12802" max="12802" width="16.6640625" style="1" customWidth="1"/>
    <col min="12803" max="12803" width="9.1640625" style="1"/>
    <col min="12804" max="12804" width="16.6640625" style="1" customWidth="1"/>
    <col min="12805" max="12805" width="9.1640625" style="1"/>
    <col min="12806" max="12806" width="16.6640625" style="1" customWidth="1"/>
    <col min="12807" max="13056" width="9.1640625" style="1"/>
    <col min="13057" max="13057" width="44.6640625" style="1" customWidth="1"/>
    <col min="13058" max="13058" width="16.6640625" style="1" customWidth="1"/>
    <col min="13059" max="13059" width="9.1640625" style="1"/>
    <col min="13060" max="13060" width="16.6640625" style="1" customWidth="1"/>
    <col min="13061" max="13061" width="9.1640625" style="1"/>
    <col min="13062" max="13062" width="16.6640625" style="1" customWidth="1"/>
    <col min="13063" max="13312" width="9.1640625" style="1"/>
    <col min="13313" max="13313" width="44.6640625" style="1" customWidth="1"/>
    <col min="13314" max="13314" width="16.6640625" style="1" customWidth="1"/>
    <col min="13315" max="13315" width="9.1640625" style="1"/>
    <col min="13316" max="13316" width="16.6640625" style="1" customWidth="1"/>
    <col min="13317" max="13317" width="9.1640625" style="1"/>
    <col min="13318" max="13318" width="16.6640625" style="1" customWidth="1"/>
    <col min="13319" max="13568" width="9.1640625" style="1"/>
    <col min="13569" max="13569" width="44.6640625" style="1" customWidth="1"/>
    <col min="13570" max="13570" width="16.6640625" style="1" customWidth="1"/>
    <col min="13571" max="13571" width="9.1640625" style="1"/>
    <col min="13572" max="13572" width="16.6640625" style="1" customWidth="1"/>
    <col min="13573" max="13573" width="9.1640625" style="1"/>
    <col min="13574" max="13574" width="16.6640625" style="1" customWidth="1"/>
    <col min="13575" max="13824" width="9.1640625" style="1"/>
    <col min="13825" max="13825" width="44.6640625" style="1" customWidth="1"/>
    <col min="13826" max="13826" width="16.6640625" style="1" customWidth="1"/>
    <col min="13827" max="13827" width="9.1640625" style="1"/>
    <col min="13828" max="13828" width="16.6640625" style="1" customWidth="1"/>
    <col min="13829" max="13829" width="9.1640625" style="1"/>
    <col min="13830" max="13830" width="16.6640625" style="1" customWidth="1"/>
    <col min="13831" max="14080" width="9.1640625" style="1"/>
    <col min="14081" max="14081" width="44.6640625" style="1" customWidth="1"/>
    <col min="14082" max="14082" width="16.6640625" style="1" customWidth="1"/>
    <col min="14083" max="14083" width="9.1640625" style="1"/>
    <col min="14084" max="14084" width="16.6640625" style="1" customWidth="1"/>
    <col min="14085" max="14085" width="9.1640625" style="1"/>
    <col min="14086" max="14086" width="16.6640625" style="1" customWidth="1"/>
    <col min="14087" max="14336" width="9.1640625" style="1"/>
    <col min="14337" max="14337" width="44.6640625" style="1" customWidth="1"/>
    <col min="14338" max="14338" width="16.6640625" style="1" customWidth="1"/>
    <col min="14339" max="14339" width="9.1640625" style="1"/>
    <col min="14340" max="14340" width="16.6640625" style="1" customWidth="1"/>
    <col min="14341" max="14341" width="9.1640625" style="1"/>
    <col min="14342" max="14342" width="16.6640625" style="1" customWidth="1"/>
    <col min="14343" max="14592" width="9.1640625" style="1"/>
    <col min="14593" max="14593" width="44.6640625" style="1" customWidth="1"/>
    <col min="14594" max="14594" width="16.6640625" style="1" customWidth="1"/>
    <col min="14595" max="14595" width="9.1640625" style="1"/>
    <col min="14596" max="14596" width="16.6640625" style="1" customWidth="1"/>
    <col min="14597" max="14597" width="9.1640625" style="1"/>
    <col min="14598" max="14598" width="16.6640625" style="1" customWidth="1"/>
    <col min="14599" max="14848" width="9.1640625" style="1"/>
    <col min="14849" max="14849" width="44.6640625" style="1" customWidth="1"/>
    <col min="14850" max="14850" width="16.6640625" style="1" customWidth="1"/>
    <col min="14851" max="14851" width="9.1640625" style="1"/>
    <col min="14852" max="14852" width="16.6640625" style="1" customWidth="1"/>
    <col min="14853" max="14853" width="9.1640625" style="1"/>
    <col min="14854" max="14854" width="16.6640625" style="1" customWidth="1"/>
    <col min="14855" max="15104" width="9.1640625" style="1"/>
    <col min="15105" max="15105" width="44.6640625" style="1" customWidth="1"/>
    <col min="15106" max="15106" width="16.6640625" style="1" customWidth="1"/>
    <col min="15107" max="15107" width="9.1640625" style="1"/>
    <col min="15108" max="15108" width="16.6640625" style="1" customWidth="1"/>
    <col min="15109" max="15109" width="9.1640625" style="1"/>
    <col min="15110" max="15110" width="16.6640625" style="1" customWidth="1"/>
    <col min="15111" max="15360" width="9.1640625" style="1"/>
    <col min="15361" max="15361" width="44.6640625" style="1" customWidth="1"/>
    <col min="15362" max="15362" width="16.6640625" style="1" customWidth="1"/>
    <col min="15363" max="15363" width="9.1640625" style="1"/>
    <col min="15364" max="15364" width="16.6640625" style="1" customWidth="1"/>
    <col min="15365" max="15365" width="9.1640625" style="1"/>
    <col min="15366" max="15366" width="16.6640625" style="1" customWidth="1"/>
    <col min="15367" max="15616" width="9.1640625" style="1"/>
    <col min="15617" max="15617" width="44.6640625" style="1" customWidth="1"/>
    <col min="15618" max="15618" width="16.6640625" style="1" customWidth="1"/>
    <col min="15619" max="15619" width="9.1640625" style="1"/>
    <col min="15620" max="15620" width="16.6640625" style="1" customWidth="1"/>
    <col min="15621" max="15621" width="9.1640625" style="1"/>
    <col min="15622" max="15622" width="16.6640625" style="1" customWidth="1"/>
    <col min="15623" max="15872" width="9.1640625" style="1"/>
    <col min="15873" max="15873" width="44.6640625" style="1" customWidth="1"/>
    <col min="15874" max="15874" width="16.6640625" style="1" customWidth="1"/>
    <col min="15875" max="15875" width="9.1640625" style="1"/>
    <col min="15876" max="15876" width="16.6640625" style="1" customWidth="1"/>
    <col min="15877" max="15877" width="9.1640625" style="1"/>
    <col min="15878" max="15878" width="16.6640625" style="1" customWidth="1"/>
    <col min="15879" max="16128" width="9.1640625" style="1"/>
    <col min="16129" max="16129" width="44.6640625" style="1" customWidth="1"/>
    <col min="16130" max="16130" width="16.6640625" style="1" customWidth="1"/>
    <col min="16131" max="16131" width="9.1640625" style="1"/>
    <col min="16132" max="16132" width="16.6640625" style="1" customWidth="1"/>
    <col min="16133" max="16133" width="9.1640625" style="1"/>
    <col min="16134" max="16134" width="16.6640625" style="1" customWidth="1"/>
    <col min="16135" max="16384" width="9.1640625" style="1"/>
  </cols>
  <sheetData>
    <row r="3" spans="1:7" ht="29.25" customHeight="1">
      <c r="A3" s="322" t="s">
        <v>0</v>
      </c>
      <c r="B3" s="323"/>
      <c r="C3" s="323"/>
      <c r="D3" s="323"/>
      <c r="E3" s="323"/>
      <c r="F3" s="323"/>
      <c r="G3" s="324"/>
    </row>
    <row r="4" spans="1:7" ht="30.75" customHeight="1">
      <c r="A4" s="325" t="s">
        <v>1</v>
      </c>
      <c r="B4" s="325"/>
      <c r="C4" s="325"/>
      <c r="D4" s="325"/>
      <c r="E4" s="325"/>
      <c r="F4" s="325"/>
      <c r="G4" s="325"/>
    </row>
    <row r="5" spans="1:7" ht="15" customHeight="1">
      <c r="A5" s="189"/>
      <c r="B5" s="190">
        <v>2019</v>
      </c>
      <c r="C5" s="190" t="s">
        <v>2</v>
      </c>
      <c r="D5" s="190">
        <v>2020</v>
      </c>
      <c r="E5" s="191" t="s">
        <v>2</v>
      </c>
      <c r="F5" s="190">
        <v>20201</v>
      </c>
      <c r="G5" s="192" t="s">
        <v>2</v>
      </c>
    </row>
    <row r="6" spans="1:7" ht="15" customHeight="1">
      <c r="A6" s="51" t="s">
        <v>3</v>
      </c>
      <c r="B6" s="52">
        <f>SUM(B7:B7)</f>
        <v>339000</v>
      </c>
      <c r="C6" s="53">
        <f>+B6/$B$6</f>
        <v>1</v>
      </c>
      <c r="D6" s="52">
        <f>SUM(D7:D7)</f>
        <v>2328000</v>
      </c>
      <c r="E6" s="53">
        <f>+D6/D$6</f>
        <v>1</v>
      </c>
      <c r="F6" s="52">
        <f>SUM(F7:F7)</f>
        <v>4419000</v>
      </c>
      <c r="G6" s="54">
        <f>+F6/F$6</f>
        <v>1</v>
      </c>
    </row>
    <row r="7" spans="1:7" ht="15" customHeight="1">
      <c r="A7" s="55" t="s">
        <v>222</v>
      </c>
      <c r="B7" s="56">
        <f>+'Ventes - product mix'!M64</f>
        <v>339000</v>
      </c>
      <c r="C7" s="57">
        <f t="shared" ref="C7:C82" si="0">+B7/$B$6</f>
        <v>1</v>
      </c>
      <c r="D7" s="56">
        <f>+'Ventes - product mix'!Z64</f>
        <v>2328000</v>
      </c>
      <c r="E7" s="57">
        <f>+D7/D$6</f>
        <v>1</v>
      </c>
      <c r="F7" s="56">
        <f>+'Ventes - product mix'!AM64</f>
        <v>4419000</v>
      </c>
      <c r="G7" s="58">
        <f>+F7/F$6</f>
        <v>1</v>
      </c>
    </row>
    <row r="8" spans="1:7" ht="15" customHeight="1">
      <c r="A8" s="59" t="s">
        <v>4</v>
      </c>
      <c r="B8" s="60">
        <f>SUM(B6)</f>
        <v>339000</v>
      </c>
      <c r="C8" s="61">
        <f t="shared" si="0"/>
        <v>1</v>
      </c>
      <c r="D8" s="60">
        <f>SUM(D6)</f>
        <v>2328000</v>
      </c>
      <c r="E8" s="61">
        <f t="shared" ref="E8:E80" si="1">+D8/D$6</f>
        <v>1</v>
      </c>
      <c r="F8" s="60">
        <f>SUM(F6)</f>
        <v>4419000</v>
      </c>
      <c r="G8" s="62">
        <f t="shared" ref="G8" si="2">+F8/F$6</f>
        <v>1</v>
      </c>
    </row>
    <row r="9" spans="1:7" ht="15" customHeight="1">
      <c r="A9" s="63" t="s">
        <v>5</v>
      </c>
      <c r="B9" s="48">
        <f>+B8</f>
        <v>339000</v>
      </c>
      <c r="C9" s="49">
        <f t="shared" si="0"/>
        <v>1</v>
      </c>
      <c r="D9" s="48">
        <f>+D8</f>
        <v>2328000</v>
      </c>
      <c r="E9" s="49">
        <f t="shared" si="1"/>
        <v>1</v>
      </c>
      <c r="F9" s="48">
        <f>+F8</f>
        <v>4419000</v>
      </c>
      <c r="G9" s="64">
        <f t="shared" ref="G9" si="3">+F9/F$6</f>
        <v>1</v>
      </c>
    </row>
    <row r="10" spans="1:7" ht="15" customHeight="1">
      <c r="A10" s="51" t="s">
        <v>6</v>
      </c>
      <c r="B10" s="52">
        <f>+B11</f>
        <v>240000</v>
      </c>
      <c r="C10" s="53">
        <f t="shared" si="0"/>
        <v>0.70796460176991149</v>
      </c>
      <c r="D10" s="52">
        <f>SUM(D11:D11)</f>
        <v>1000000</v>
      </c>
      <c r="E10" s="53">
        <f t="shared" si="1"/>
        <v>0.42955326460481097</v>
      </c>
      <c r="F10" s="52">
        <f>SUM(F11:F11)</f>
        <v>1600000</v>
      </c>
      <c r="G10" s="65">
        <f t="shared" ref="G10" si="4">+F10/F$6</f>
        <v>0.36207286716451687</v>
      </c>
    </row>
    <row r="11" spans="1:7" ht="15" customHeight="1">
      <c r="A11" s="24" t="s">
        <v>223</v>
      </c>
      <c r="B11" s="25">
        <f>+'Cout de production'!H4</f>
        <v>240000</v>
      </c>
      <c r="C11" s="28">
        <f t="shared" si="0"/>
        <v>0.70796460176991149</v>
      </c>
      <c r="D11" s="25">
        <f>+'Cout de production'!J3</f>
        <v>1000000</v>
      </c>
      <c r="E11" s="28">
        <f t="shared" si="1"/>
        <v>0.42955326460481097</v>
      </c>
      <c r="F11" s="25">
        <f>+'Cout de production'!L3</f>
        <v>1600000</v>
      </c>
      <c r="G11" s="66">
        <f t="shared" ref="G11" si="5">+F11/F$6</f>
        <v>0.36207286716451687</v>
      </c>
    </row>
    <row r="12" spans="1:7" ht="15" customHeight="1">
      <c r="A12" s="51" t="s">
        <v>7</v>
      </c>
      <c r="B12" s="52"/>
      <c r="C12" s="53">
        <f t="shared" si="0"/>
        <v>0</v>
      </c>
      <c r="D12" s="52"/>
      <c r="E12" s="53">
        <f t="shared" si="1"/>
        <v>0</v>
      </c>
      <c r="F12" s="52"/>
      <c r="G12" s="65">
        <f t="shared" ref="G12" si="6">+F12/F$6</f>
        <v>0</v>
      </c>
    </row>
    <row r="13" spans="1:7" ht="15" customHeight="1">
      <c r="A13" s="63" t="s">
        <v>83</v>
      </c>
      <c r="B13" s="48">
        <f>SUM(B10,B12)</f>
        <v>240000</v>
      </c>
      <c r="C13" s="49">
        <f t="shared" si="0"/>
        <v>0.70796460176991149</v>
      </c>
      <c r="D13" s="48">
        <f>SUM(D10,D12)</f>
        <v>1000000</v>
      </c>
      <c r="E13" s="49">
        <f t="shared" si="1"/>
        <v>0.42955326460481097</v>
      </c>
      <c r="F13" s="48">
        <f>SUM(F10,F12)</f>
        <v>1600000</v>
      </c>
      <c r="G13" s="71">
        <f t="shared" ref="G13" si="7">+F13/F$6</f>
        <v>0.36207286716451687</v>
      </c>
    </row>
    <row r="14" spans="1:7" ht="15" customHeight="1">
      <c r="A14" s="72" t="s">
        <v>8</v>
      </c>
      <c r="B14" s="50">
        <f>+B9-B13</f>
        <v>99000</v>
      </c>
      <c r="C14" s="49">
        <f t="shared" si="0"/>
        <v>0.29203539823008851</v>
      </c>
      <c r="D14" s="50">
        <f>+D9-D13</f>
        <v>1328000</v>
      </c>
      <c r="E14" s="49">
        <f t="shared" si="1"/>
        <v>0.57044673539518898</v>
      </c>
      <c r="F14" s="50">
        <f>+F9-F13</f>
        <v>2819000</v>
      </c>
      <c r="G14" s="71">
        <f t="shared" ref="G14" si="8">+F14/F$6</f>
        <v>0.63792713283548319</v>
      </c>
    </row>
    <row r="15" spans="1:7" ht="15" customHeight="1">
      <c r="A15" s="73" t="s">
        <v>9</v>
      </c>
      <c r="B15" s="74">
        <f>+'charges de structure'!B2</f>
        <v>11506</v>
      </c>
      <c r="C15" s="75">
        <f t="shared" si="0"/>
        <v>3.3941002949852507E-2</v>
      </c>
      <c r="D15" s="74">
        <f>+'charges de structure'!D2</f>
        <v>19334</v>
      </c>
      <c r="E15" s="75">
        <f t="shared" si="1"/>
        <v>8.3049828178694152E-3</v>
      </c>
      <c r="F15" s="74">
        <f>+'charges de structure'!F2</f>
        <v>23494</v>
      </c>
      <c r="G15" s="76">
        <f t="shared" ref="G15" si="9">+F15/F$6</f>
        <v>5.3165874632269744E-3</v>
      </c>
    </row>
    <row r="16" spans="1:7" ht="15" customHeight="1">
      <c r="A16" s="67" t="s">
        <v>10</v>
      </c>
      <c r="B16" s="68">
        <f>+'charges de structure'!B3</f>
        <v>1900</v>
      </c>
      <c r="C16" s="69">
        <f t="shared" si="0"/>
        <v>5.6047197640117993E-3</v>
      </c>
      <c r="D16" s="68">
        <f>+'charges de structure'!D3</f>
        <v>3050</v>
      </c>
      <c r="E16" s="69">
        <f t="shared" si="1"/>
        <v>1.3101374570446734E-3</v>
      </c>
      <c r="F16" s="68">
        <f>+'charges de structure'!F3</f>
        <v>3142</v>
      </c>
      <c r="G16" s="70">
        <f t="shared" ref="G16" si="10">+F16/F$6</f>
        <v>7.1102059289431994E-4</v>
      </c>
    </row>
    <row r="17" spans="1:7" ht="15" customHeight="1">
      <c r="A17" s="24" t="s">
        <v>11</v>
      </c>
      <c r="B17" s="25">
        <f>+'charges de structure'!B4</f>
        <v>606</v>
      </c>
      <c r="C17" s="28">
        <f t="shared" si="0"/>
        <v>1.7876106194690264E-3</v>
      </c>
      <c r="D17" s="25">
        <f>+'charges de structure'!D4</f>
        <v>650</v>
      </c>
      <c r="E17" s="28">
        <f t="shared" si="1"/>
        <v>2.7920962199312713E-4</v>
      </c>
      <c r="F17" s="25">
        <f>+'charges de structure'!F4</f>
        <v>750</v>
      </c>
      <c r="G17" s="66">
        <f t="shared" ref="G17" si="11">+F17/F$6</f>
        <v>1.6972165648336727E-4</v>
      </c>
    </row>
    <row r="18" spans="1:7" ht="15" customHeight="1">
      <c r="A18" s="67" t="s">
        <v>12</v>
      </c>
      <c r="B18" s="68">
        <f>+'charges de structure'!B5</f>
        <v>2000</v>
      </c>
      <c r="C18" s="69">
        <f t="shared" si="0"/>
        <v>5.8997050147492625E-3</v>
      </c>
      <c r="D18" s="68">
        <f>+'charges de structure'!D5</f>
        <v>4800</v>
      </c>
      <c r="E18" s="69">
        <f t="shared" si="1"/>
        <v>2.0618556701030928E-3</v>
      </c>
      <c r="F18" s="68">
        <f>+'charges de structure'!F5</f>
        <v>6506</v>
      </c>
      <c r="G18" s="70">
        <f t="shared" ref="G18" si="12">+F18/F$6</f>
        <v>1.4722787961077167E-3</v>
      </c>
    </row>
    <row r="19" spans="1:7" ht="15" customHeight="1">
      <c r="A19" s="24" t="s">
        <v>13</v>
      </c>
      <c r="B19" s="25">
        <f>+'charges de structure'!B6</f>
        <v>4000</v>
      </c>
      <c r="C19" s="28">
        <f t="shared" si="0"/>
        <v>1.1799410029498525E-2</v>
      </c>
      <c r="D19" s="25">
        <f>+'charges de structure'!D6</f>
        <v>6500</v>
      </c>
      <c r="E19" s="28">
        <f t="shared" si="1"/>
        <v>2.7920962199312715E-3</v>
      </c>
      <c r="F19" s="25">
        <f>+'charges de structure'!F6</f>
        <v>8000</v>
      </c>
      <c r="G19" s="66">
        <f t="shared" ref="G19" si="13">+F19/F$6</f>
        <v>1.8103643358225842E-3</v>
      </c>
    </row>
    <row r="20" spans="1:7" ht="15" customHeight="1">
      <c r="A20" s="67" t="s">
        <v>14</v>
      </c>
      <c r="B20" s="68">
        <f>+'charges de structure'!B7</f>
        <v>2000</v>
      </c>
      <c r="C20" s="69">
        <f t="shared" si="0"/>
        <v>5.8997050147492625E-3</v>
      </c>
      <c r="D20" s="68">
        <f>+'charges de structure'!D7</f>
        <v>2500</v>
      </c>
      <c r="E20" s="69">
        <f t="shared" si="1"/>
        <v>1.0738831615120276E-3</v>
      </c>
      <c r="F20" s="68">
        <f>+'charges de structure'!F7</f>
        <v>3000</v>
      </c>
      <c r="G20" s="70">
        <f t="shared" ref="G20" si="14">+F20/F$6</f>
        <v>6.7888662593346908E-4</v>
      </c>
    </row>
    <row r="21" spans="1:7" ht="15" customHeight="1">
      <c r="A21" s="24" t="s">
        <v>15</v>
      </c>
      <c r="B21" s="25">
        <f>+'charges de structure'!B8</f>
        <v>1000</v>
      </c>
      <c r="C21" s="28">
        <f t="shared" si="0"/>
        <v>2.9498525073746312E-3</v>
      </c>
      <c r="D21" s="25">
        <f>+'charges de structure'!D8</f>
        <v>1834</v>
      </c>
      <c r="E21" s="28">
        <f t="shared" si="1"/>
        <v>7.8780068728522337E-4</v>
      </c>
      <c r="F21" s="25">
        <f>+'charges de structure'!F8</f>
        <v>2096</v>
      </c>
      <c r="G21" s="66">
        <f t="shared" ref="G21" si="15">+F21/F$6</f>
        <v>4.7431545598551709E-4</v>
      </c>
    </row>
    <row r="22" spans="1:7" ht="15" customHeight="1">
      <c r="A22" s="73" t="s">
        <v>16</v>
      </c>
      <c r="B22" s="74">
        <f>+'charges de structure'!B9</f>
        <v>402004</v>
      </c>
      <c r="C22" s="75">
        <f t="shared" si="0"/>
        <v>1.1858525073746313</v>
      </c>
      <c r="D22" s="74">
        <f>+'charges de structure'!D9</f>
        <v>785450</v>
      </c>
      <c r="E22" s="75">
        <f t="shared" si="1"/>
        <v>0.33739261168384882</v>
      </c>
      <c r="F22" s="74">
        <f>+'charges de structure'!F9</f>
        <v>1072286</v>
      </c>
      <c r="G22" s="76">
        <f t="shared" ref="G22" si="16">+F22/F$6</f>
        <v>0.24265354152523194</v>
      </c>
    </row>
    <row r="23" spans="1:7" ht="15" customHeight="1">
      <c r="A23" s="24" t="s">
        <v>220</v>
      </c>
      <c r="B23" s="25">
        <f>+'charges de structure'!B11</f>
        <v>25000</v>
      </c>
      <c r="C23" s="28">
        <f t="shared" si="0"/>
        <v>7.3746312684365781E-2</v>
      </c>
      <c r="D23" s="25">
        <f>+'charges de structure'!D11</f>
        <v>75000</v>
      </c>
      <c r="E23" s="28">
        <f t="shared" si="1"/>
        <v>3.2216494845360821E-2</v>
      </c>
      <c r="F23" s="25">
        <f>+'charges de structure'!F11</f>
        <v>90000</v>
      </c>
      <c r="G23" s="66">
        <f t="shared" ref="G23" si="17">+F23/F$6</f>
        <v>2.0366598778004074E-2</v>
      </c>
    </row>
    <row r="24" spans="1:7" ht="15" customHeight="1">
      <c r="A24" s="67" t="s">
        <v>17</v>
      </c>
      <c r="B24" s="68">
        <f>+'charges de structure'!B12</f>
        <v>6800</v>
      </c>
      <c r="C24" s="69">
        <f t="shared" si="0"/>
        <v>2.0058997050147492E-2</v>
      </c>
      <c r="D24" s="68">
        <f>+'charges de structure'!D12</f>
        <v>20400</v>
      </c>
      <c r="E24" s="69">
        <f t="shared" si="1"/>
        <v>8.7628865979381444E-3</v>
      </c>
      <c r="F24" s="68">
        <f>+'charges de structure'!F12</f>
        <v>30986</v>
      </c>
      <c r="G24" s="70">
        <f t="shared" ref="G24" si="18">+F24/F$6</f>
        <v>7.0119936637248245E-3</v>
      </c>
    </row>
    <row r="25" spans="1:7" ht="15" customHeight="1">
      <c r="A25" s="24" t="s">
        <v>18</v>
      </c>
      <c r="B25" s="25">
        <f>+'charges de structure'!B13</f>
        <v>4500</v>
      </c>
      <c r="C25" s="28">
        <f t="shared" si="0"/>
        <v>1.3274336283185841E-2</v>
      </c>
      <c r="D25" s="25">
        <f>+'charges de structure'!D13</f>
        <v>10800</v>
      </c>
      <c r="E25" s="28">
        <f t="shared" si="1"/>
        <v>4.6391752577319588E-3</v>
      </c>
      <c r="F25" s="25">
        <f>+'charges de structure'!F13</f>
        <v>10800</v>
      </c>
      <c r="G25" s="66">
        <f t="shared" ref="G25" si="19">+F25/F$6</f>
        <v>2.443991853360489E-3</v>
      </c>
    </row>
    <row r="26" spans="1:7" ht="15" customHeight="1">
      <c r="A26" s="67" t="s">
        <v>19</v>
      </c>
      <c r="B26" s="68">
        <f>+'charges de structure'!B14</f>
        <v>954</v>
      </c>
      <c r="C26" s="69">
        <f t="shared" si="0"/>
        <v>2.8141592920353981E-3</v>
      </c>
      <c r="D26" s="68">
        <f>+'charges de structure'!D14</f>
        <v>1500</v>
      </c>
      <c r="E26" s="69">
        <f t="shared" si="1"/>
        <v>6.4432989690721648E-4</v>
      </c>
      <c r="F26" s="68">
        <f>+'charges de structure'!F14</f>
        <v>1500</v>
      </c>
      <c r="G26" s="70">
        <f t="shared" ref="G26" si="20">+F26/F$6</f>
        <v>3.3944331296673454E-4</v>
      </c>
    </row>
    <row r="27" spans="1:7" ht="15" customHeight="1">
      <c r="A27" s="24" t="s">
        <v>20</v>
      </c>
      <c r="B27" s="25">
        <f>+'charges de structure'!B15</f>
        <v>2500</v>
      </c>
      <c r="C27" s="28">
        <f t="shared" si="0"/>
        <v>7.3746312684365781E-3</v>
      </c>
      <c r="D27" s="25">
        <f>+'charges de structure'!D15</f>
        <v>5000</v>
      </c>
      <c r="E27" s="28">
        <f t="shared" si="1"/>
        <v>2.1477663230240552E-3</v>
      </c>
      <c r="F27" s="25">
        <f>+'charges de structure'!F15</f>
        <v>5500</v>
      </c>
      <c r="G27" s="66">
        <f t="shared" ref="G27" si="21">+F27/F$6</f>
        <v>1.2446254808780267E-3</v>
      </c>
    </row>
    <row r="28" spans="1:7" ht="15" customHeight="1">
      <c r="A28" s="67" t="s">
        <v>21</v>
      </c>
      <c r="B28" s="68">
        <f>+'charges de structure'!B16</f>
        <v>0</v>
      </c>
      <c r="C28" s="69">
        <f t="shared" si="0"/>
        <v>0</v>
      </c>
      <c r="D28" s="68">
        <f>+'charges de structure'!D16</f>
        <v>0</v>
      </c>
      <c r="E28" s="69">
        <f t="shared" si="1"/>
        <v>0</v>
      </c>
      <c r="F28" s="68">
        <f>+'charges de structure'!F16</f>
        <v>0</v>
      </c>
      <c r="G28" s="70">
        <f t="shared" ref="G28" si="22">+F28/F$6</f>
        <v>0</v>
      </c>
    </row>
    <row r="29" spans="1:7" ht="15" customHeight="1">
      <c r="A29" s="24" t="s">
        <v>22</v>
      </c>
      <c r="B29" s="25">
        <f>+'charges de structure'!B17</f>
        <v>4742</v>
      </c>
      <c r="C29" s="28">
        <f t="shared" si="0"/>
        <v>1.3988200589970502E-2</v>
      </c>
      <c r="D29" s="25">
        <f>+'charges de structure'!D17</f>
        <v>9000</v>
      </c>
      <c r="E29" s="28">
        <f t="shared" si="1"/>
        <v>3.8659793814432991E-3</v>
      </c>
      <c r="F29" s="25">
        <f>+'charges de structure'!F17</f>
        <v>12000</v>
      </c>
      <c r="G29" s="66">
        <f t="shared" ref="G29" si="23">+F29/F$6</f>
        <v>2.7155465037338763E-3</v>
      </c>
    </row>
    <row r="30" spans="1:7" ht="15" customHeight="1">
      <c r="A30" s="67" t="s">
        <v>23</v>
      </c>
      <c r="B30" s="68">
        <f>+'charges de structure'!B18</f>
        <v>6318</v>
      </c>
      <c r="C30" s="69">
        <f t="shared" si="0"/>
        <v>1.8637168141592921E-2</v>
      </c>
      <c r="D30" s="68">
        <f>+'charges de structure'!D18</f>
        <v>15000</v>
      </c>
      <c r="E30" s="69">
        <f t="shared" si="1"/>
        <v>6.4432989690721646E-3</v>
      </c>
      <c r="F30" s="68">
        <f>+'charges de structure'!F18</f>
        <v>20000</v>
      </c>
      <c r="G30" s="70">
        <f t="shared" ref="G30" si="24">+F30/F$6</f>
        <v>4.525910839556461E-3</v>
      </c>
    </row>
    <row r="31" spans="1:7" ht="15" customHeight="1">
      <c r="A31" s="24" t="s">
        <v>24</v>
      </c>
      <c r="B31" s="25">
        <f>+'charges de structure'!B19</f>
        <v>3159</v>
      </c>
      <c r="C31" s="28">
        <f t="shared" si="0"/>
        <v>9.3185840707964603E-3</v>
      </c>
      <c r="D31" s="25">
        <f>+'charges de structure'!D19</f>
        <v>5000</v>
      </c>
      <c r="E31" s="28">
        <f t="shared" si="1"/>
        <v>2.1477663230240552E-3</v>
      </c>
      <c r="F31" s="25">
        <f>+'charges de structure'!F19</f>
        <v>5000</v>
      </c>
      <c r="G31" s="66">
        <f t="shared" ref="G31" si="25">+F31/F$6</f>
        <v>1.1314777098891152E-3</v>
      </c>
    </row>
    <row r="32" spans="1:7" ht="15" customHeight="1">
      <c r="A32" s="67" t="s">
        <v>25</v>
      </c>
      <c r="B32" s="68">
        <f>+'charges de structure'!B20</f>
        <v>9477</v>
      </c>
      <c r="C32" s="69">
        <f t="shared" si="0"/>
        <v>2.7955752212389381E-2</v>
      </c>
      <c r="D32" s="68">
        <f>+'charges de structure'!D20</f>
        <v>15000</v>
      </c>
      <c r="E32" s="69">
        <f t="shared" si="1"/>
        <v>6.4432989690721646E-3</v>
      </c>
      <c r="F32" s="68">
        <f>+'charges de structure'!F20</f>
        <v>15000</v>
      </c>
      <c r="G32" s="70">
        <f t="shared" ref="G32" si="26">+F32/F$6</f>
        <v>3.3944331296673455E-3</v>
      </c>
    </row>
    <row r="33" spans="1:7" ht="15" customHeight="1">
      <c r="A33" s="24" t="s">
        <v>26</v>
      </c>
      <c r="B33" s="25">
        <f>+'charges de structure'!B21</f>
        <v>150000</v>
      </c>
      <c r="C33" s="28">
        <f t="shared" si="0"/>
        <v>0.44247787610619471</v>
      </c>
      <c r="D33" s="25">
        <f>+'charges de structure'!D21</f>
        <v>350000</v>
      </c>
      <c r="E33" s="28">
        <f t="shared" si="1"/>
        <v>0.15034364261168384</v>
      </c>
      <c r="F33" s="25">
        <f>+'charges de structure'!F21</f>
        <v>550000</v>
      </c>
      <c r="G33" s="66">
        <f t="shared" ref="G33" si="27">+F33/F$6</f>
        <v>0.12446254808780267</v>
      </c>
    </row>
    <row r="34" spans="1:7" ht="15" customHeight="1">
      <c r="A34" s="67" t="s">
        <v>264</v>
      </c>
      <c r="B34" s="25">
        <f>+'charges de structure'!B23</f>
        <v>120000</v>
      </c>
      <c r="C34" s="69">
        <f t="shared" si="0"/>
        <v>0.35398230088495575</v>
      </c>
      <c r="D34" s="25">
        <f>+'charges de structure'!D23</f>
        <v>150000</v>
      </c>
      <c r="E34" s="69">
        <f t="shared" si="1"/>
        <v>6.4432989690721643E-2</v>
      </c>
      <c r="F34" s="25">
        <f>+'charges de structure'!F23</f>
        <v>200000</v>
      </c>
      <c r="G34" s="70">
        <f t="shared" ref="G34" si="28">+F34/F$6</f>
        <v>4.5259108395564608E-2</v>
      </c>
    </row>
    <row r="35" spans="1:7" ht="15" customHeight="1">
      <c r="A35" s="24" t="s">
        <v>27</v>
      </c>
      <c r="B35" s="25">
        <f>+'charges de structure'!B24</f>
        <v>15000</v>
      </c>
      <c r="C35" s="28">
        <f t="shared" si="0"/>
        <v>4.4247787610619468E-2</v>
      </c>
      <c r="D35" s="25">
        <f>+'charges de structure'!D24</f>
        <v>18000</v>
      </c>
      <c r="E35" s="28">
        <f t="shared" si="1"/>
        <v>7.7319587628865982E-3</v>
      </c>
      <c r="F35" s="25">
        <f>+'charges de structure'!F24</f>
        <v>20000</v>
      </c>
      <c r="G35" s="66">
        <f t="shared" ref="G35" si="29">+F35/F$6</f>
        <v>4.525910839556461E-3</v>
      </c>
    </row>
    <row r="36" spans="1:7" ht="15" customHeight="1">
      <c r="A36" s="67" t="s">
        <v>28</v>
      </c>
      <c r="B36" s="68">
        <f>+'charges de structure'!B25</f>
        <v>1600</v>
      </c>
      <c r="C36" s="69">
        <f t="shared" si="0"/>
        <v>4.71976401179941E-3</v>
      </c>
      <c r="D36" s="25">
        <f>+'charges de structure'!D25</f>
        <v>5250</v>
      </c>
      <c r="E36" s="69">
        <f t="shared" si="1"/>
        <v>2.2551546391752575E-3</v>
      </c>
      <c r="F36" s="68">
        <f>+'charges de structure'!F25</f>
        <v>6000</v>
      </c>
      <c r="G36" s="70">
        <f t="shared" ref="G36" si="30">+F36/F$6</f>
        <v>1.3577732518669382E-3</v>
      </c>
    </row>
    <row r="37" spans="1:7" ht="15" customHeight="1">
      <c r="A37" s="24" t="s">
        <v>29</v>
      </c>
      <c r="B37" s="25">
        <f>+'charges de structure'!B26</f>
        <v>954</v>
      </c>
      <c r="C37" s="28">
        <f t="shared" si="0"/>
        <v>2.8141592920353981E-3</v>
      </c>
      <c r="D37" s="25">
        <f>+'charges de structure'!D26</f>
        <v>1500</v>
      </c>
      <c r="E37" s="28">
        <f t="shared" si="1"/>
        <v>6.4432989690721648E-4</v>
      </c>
      <c r="F37" s="25">
        <f>+'charges de structure'!F26</f>
        <v>1500</v>
      </c>
      <c r="G37" s="66">
        <f t="shared" ref="G37" si="31">+F37/F$6</f>
        <v>3.3944331296673454E-4</v>
      </c>
    </row>
    <row r="38" spans="1:7" ht="15" customHeight="1">
      <c r="A38" s="67" t="s">
        <v>30</v>
      </c>
      <c r="B38" s="68">
        <f>+'charges de structure'!B27</f>
        <v>0</v>
      </c>
      <c r="C38" s="69">
        <f t="shared" si="0"/>
        <v>0</v>
      </c>
      <c r="D38" s="68">
        <f>+'charges de structure'!D27</f>
        <v>2500</v>
      </c>
      <c r="E38" s="69">
        <f t="shared" si="1"/>
        <v>1.0738831615120276E-3</v>
      </c>
      <c r="F38" s="68">
        <f>+'charges de structure'!F27</f>
        <v>2500</v>
      </c>
      <c r="G38" s="70">
        <f t="shared" ref="G38" si="32">+F38/F$6</f>
        <v>5.6573885494455762E-4</v>
      </c>
    </row>
    <row r="39" spans="1:7" ht="15" customHeight="1">
      <c r="A39" s="24" t="s">
        <v>31</v>
      </c>
      <c r="B39" s="25">
        <f>+'charges de structure'!B28</f>
        <v>1000</v>
      </c>
      <c r="C39" s="28">
        <f t="shared" si="0"/>
        <v>2.9498525073746312E-3</v>
      </c>
      <c r="D39" s="25">
        <f>+'charges de structure'!D28</f>
        <v>1500</v>
      </c>
      <c r="E39" s="28">
        <f t="shared" si="1"/>
        <v>6.4432989690721648E-4</v>
      </c>
      <c r="F39" s="25">
        <f>+'charges de structure'!F28</f>
        <v>1500</v>
      </c>
      <c r="G39" s="66">
        <f t="shared" ref="G39" si="33">+F39/F$6</f>
        <v>3.3944331296673454E-4</v>
      </c>
    </row>
    <row r="40" spans="1:7" ht="15" customHeight="1">
      <c r="A40" s="63" t="s">
        <v>32</v>
      </c>
      <c r="B40" s="48">
        <f>SUM(B14-B15-B22)</f>
        <v>-314510</v>
      </c>
      <c r="C40" s="49">
        <f t="shared" si="0"/>
        <v>-0.92775811209439529</v>
      </c>
      <c r="D40" s="48">
        <f>SUM(D14-D15-D22)</f>
        <v>523216</v>
      </c>
      <c r="E40" s="49">
        <f t="shared" si="1"/>
        <v>0.22474914089347078</v>
      </c>
      <c r="F40" s="48">
        <f>SUM(F14-F15-F22)</f>
        <v>1723220</v>
      </c>
      <c r="G40" s="64">
        <f t="shared" ref="G40" si="34">+F40/F$6</f>
        <v>0.3899570038470242</v>
      </c>
    </row>
    <row r="41" spans="1:7" ht="15" customHeight="1">
      <c r="A41" s="63" t="s">
        <v>33</v>
      </c>
      <c r="B41" s="48">
        <f>+B42</f>
        <v>0</v>
      </c>
      <c r="C41" s="49">
        <f t="shared" si="0"/>
        <v>0</v>
      </c>
      <c r="D41" s="48"/>
      <c r="E41" s="49">
        <f t="shared" si="1"/>
        <v>0</v>
      </c>
      <c r="F41" s="48"/>
      <c r="G41" s="64">
        <f t="shared" ref="G41" si="35">+F41/F$6</f>
        <v>0</v>
      </c>
    </row>
    <row r="42" spans="1:7" ht="15" customHeight="1">
      <c r="A42" s="77" t="s">
        <v>34</v>
      </c>
      <c r="B42" s="78"/>
      <c r="C42" s="79">
        <f t="shared" si="0"/>
        <v>0</v>
      </c>
      <c r="D42" s="78"/>
      <c r="E42" s="79">
        <f t="shared" si="1"/>
        <v>0</v>
      </c>
      <c r="F42" s="78"/>
      <c r="G42" s="80">
        <f t="shared" ref="G42" si="36">+F42/F$6</f>
        <v>0</v>
      </c>
    </row>
    <row r="43" spans="1:7" ht="15" customHeight="1">
      <c r="A43" s="73" t="s">
        <v>35</v>
      </c>
      <c r="B43" s="74">
        <f>+B44</f>
        <v>5311</v>
      </c>
      <c r="C43" s="75">
        <f t="shared" si="0"/>
        <v>1.5666666666666666E-2</v>
      </c>
      <c r="D43" s="74">
        <f>+D44</f>
        <v>12846</v>
      </c>
      <c r="E43" s="75">
        <f t="shared" si="1"/>
        <v>5.5180412371134023E-3</v>
      </c>
      <c r="F43" s="74">
        <f>+F44</f>
        <v>17000</v>
      </c>
      <c r="G43" s="76">
        <f t="shared" ref="G43" si="37">+F43/F$6</f>
        <v>3.8470242136229918E-3</v>
      </c>
    </row>
    <row r="44" spans="1:7" ht="15" customHeight="1">
      <c r="A44" s="51" t="s">
        <v>36</v>
      </c>
      <c r="B44" s="52">
        <f>+'charges de structure'!B29</f>
        <v>5311</v>
      </c>
      <c r="C44" s="53">
        <f t="shared" si="0"/>
        <v>1.5666666666666666E-2</v>
      </c>
      <c r="D44" s="52">
        <f>+'charges de structure'!D29</f>
        <v>12846</v>
      </c>
      <c r="E44" s="53">
        <f t="shared" si="1"/>
        <v>5.5180412371134023E-3</v>
      </c>
      <c r="F44" s="52">
        <f>+'charges de structure'!F29</f>
        <v>17000</v>
      </c>
      <c r="G44" s="65">
        <f t="shared" ref="G44" si="38">+F44/F$6</f>
        <v>3.8470242136229918E-3</v>
      </c>
    </row>
    <row r="45" spans="1:7" ht="15" customHeight="1">
      <c r="A45" s="67" t="s">
        <v>37</v>
      </c>
      <c r="B45" s="68">
        <f>+'charges de structure'!B30</f>
        <v>347</v>
      </c>
      <c r="C45" s="69">
        <f t="shared" si="0"/>
        <v>1.023598820058997E-3</v>
      </c>
      <c r="D45" s="68">
        <f>+'charges de structure'!D30</f>
        <v>1158</v>
      </c>
      <c r="E45" s="69">
        <f t="shared" si="1"/>
        <v>4.9742268041237116E-4</v>
      </c>
      <c r="F45" s="68">
        <f>+'charges de structure'!F30</f>
        <v>1417</v>
      </c>
      <c r="G45" s="70">
        <f t="shared" ref="G45" si="39">+F45/F$6</f>
        <v>3.2066078298257527E-4</v>
      </c>
    </row>
    <row r="46" spans="1:7" ht="15" customHeight="1">
      <c r="A46" s="67" t="s">
        <v>38</v>
      </c>
      <c r="B46" s="68">
        <f>+'charges de structure'!B31</f>
        <v>540</v>
      </c>
      <c r="C46" s="69">
        <f t="shared" si="0"/>
        <v>1.592920353982301E-3</v>
      </c>
      <c r="D46" s="68">
        <f>+'charges de structure'!D31</f>
        <v>1703</v>
      </c>
      <c r="E46" s="69">
        <f t="shared" si="1"/>
        <v>7.3152920962199313E-4</v>
      </c>
      <c r="F46" s="68">
        <f>+'charges de structure'!F31</f>
        <v>2083</v>
      </c>
      <c r="G46" s="70">
        <f t="shared" ref="G46" si="40">+F46/F$6</f>
        <v>4.7137361393980538E-4</v>
      </c>
    </row>
    <row r="47" spans="1:7" ht="15" customHeight="1">
      <c r="A47" s="67" t="s">
        <v>39</v>
      </c>
      <c r="B47" s="68">
        <f>+'charges de structure'!B32</f>
        <v>1265</v>
      </c>
      <c r="C47" s="69">
        <f t="shared" si="0"/>
        <v>3.7315634218289084E-3</v>
      </c>
      <c r="D47" s="68">
        <f>+'charges de structure'!D32</f>
        <v>4985</v>
      </c>
      <c r="E47" s="69">
        <f t="shared" si="1"/>
        <v>2.1413230240549829E-3</v>
      </c>
      <c r="F47" s="68">
        <f>+'charges de structure'!F32</f>
        <v>8500</v>
      </c>
      <c r="G47" s="70">
        <f t="shared" ref="G47" si="41">+F47/F$6</f>
        <v>1.9235121068114959E-3</v>
      </c>
    </row>
    <row r="48" spans="1:7" ht="15" customHeight="1">
      <c r="A48" s="67" t="s">
        <v>40</v>
      </c>
      <c r="B48" s="68">
        <f>+'charges de structure'!B33</f>
        <v>3159</v>
      </c>
      <c r="C48" s="69">
        <f t="shared" si="0"/>
        <v>9.3185840707964603E-3</v>
      </c>
      <c r="D48" s="68">
        <f>+'charges de structure'!D33</f>
        <v>5000</v>
      </c>
      <c r="E48" s="69">
        <f t="shared" si="1"/>
        <v>2.1477663230240552E-3</v>
      </c>
      <c r="F48" s="68">
        <f>+'charges de structure'!F33</f>
        <v>5000</v>
      </c>
      <c r="G48" s="70">
        <f t="shared" ref="G48" si="42">+F48/F$6</f>
        <v>1.1314777098891152E-3</v>
      </c>
    </row>
    <row r="49" spans="1:7" ht="15" customHeight="1">
      <c r="A49" s="73" t="s">
        <v>41</v>
      </c>
      <c r="B49" s="74">
        <f>+B50+B64</f>
        <v>281236.68</v>
      </c>
      <c r="C49" s="75">
        <f t="shared" si="0"/>
        <v>0.82960672566371685</v>
      </c>
      <c r="D49" s="74">
        <f>+D50+D64</f>
        <v>672778.19200000004</v>
      </c>
      <c r="E49" s="75">
        <f t="shared" si="1"/>
        <v>0.28899406872852235</v>
      </c>
      <c r="F49" s="74">
        <f>+F50+F64</f>
        <v>756044.23840000003</v>
      </c>
      <c r="G49" s="76">
        <f t="shared" ref="G49" si="43">+F49/F$6</f>
        <v>0.17108944068793847</v>
      </c>
    </row>
    <row r="50" spans="1:7" ht="15" customHeight="1">
      <c r="A50" s="51" t="s">
        <v>42</v>
      </c>
      <c r="B50" s="52">
        <f>SUM(B51:B63)</f>
        <v>198054</v>
      </c>
      <c r="C50" s="53">
        <f t="shared" si="0"/>
        <v>0.58423008849557523</v>
      </c>
      <c r="D50" s="52">
        <f>SUM(D51:D63)</f>
        <v>466000.6</v>
      </c>
      <c r="E50" s="53">
        <f t="shared" si="1"/>
        <v>0.20017207903780068</v>
      </c>
      <c r="F50" s="52">
        <f>SUM(F51:F63)</f>
        <v>532425.52</v>
      </c>
      <c r="G50" s="65">
        <f t="shared" ref="G50" si="44">+F50/F$6</f>
        <v>0.12048552161122426</v>
      </c>
    </row>
    <row r="51" spans="1:7" ht="15" customHeight="1">
      <c r="A51" s="24" t="s">
        <v>90</v>
      </c>
      <c r="B51" s="25">
        <f>+'charge du personnel'!C3</f>
        <v>37406</v>
      </c>
      <c r="C51" s="28">
        <f t="shared" si="0"/>
        <v>0.11034218289085546</v>
      </c>
      <c r="D51" s="25">
        <f>+'charge du personnel'!E3</f>
        <v>38528</v>
      </c>
      <c r="E51" s="28">
        <f t="shared" si="1"/>
        <v>1.6549828178694159E-2</v>
      </c>
      <c r="F51" s="25">
        <f>+'charge du personnel'!G3</f>
        <v>39684</v>
      </c>
      <c r="G51" s="66">
        <f t="shared" ref="G51" si="45">+F51/F$6</f>
        <v>8.9803122878479302E-3</v>
      </c>
    </row>
    <row r="52" spans="1:7" ht="15" customHeight="1">
      <c r="A52" s="24" t="s">
        <v>284</v>
      </c>
      <c r="B52" s="25">
        <f>+'charge du personnel'!C4</f>
        <v>37488</v>
      </c>
      <c r="C52" s="28">
        <f t="shared" si="0"/>
        <v>0.11058407079646018</v>
      </c>
      <c r="D52" s="25">
        <f>+'charge du personnel'!E4</f>
        <v>38612.6</v>
      </c>
      <c r="E52" s="28">
        <f t="shared" si="1"/>
        <v>1.6586168384879724E-2</v>
      </c>
      <c r="F52" s="25">
        <f>+'charge du personnel'!G4</f>
        <v>39770.9</v>
      </c>
      <c r="G52" s="66">
        <f t="shared" ref="G52" si="46">+F52/F$6</f>
        <v>8.9999773704458018E-3</v>
      </c>
    </row>
    <row r="53" spans="1:7" ht="15" customHeight="1">
      <c r="A53" s="24" t="s">
        <v>278</v>
      </c>
      <c r="B53" s="25">
        <f>+'charge du personnel'!C5</f>
        <v>42600</v>
      </c>
      <c r="C53" s="28">
        <f t="shared" si="0"/>
        <v>0.1256637168141593</v>
      </c>
      <c r="D53" s="25">
        <f>+'charge du personnel'!E5</f>
        <v>43878</v>
      </c>
      <c r="E53" s="28">
        <f t="shared" si="1"/>
        <v>1.8847938144329897E-2</v>
      </c>
      <c r="F53" s="25">
        <f>+'charge du personnel'!G5</f>
        <v>45194</v>
      </c>
      <c r="G53" s="66">
        <f t="shared" ref="G53:G60" si="47">+F53/F$6</f>
        <v>1.0227200724145733E-2</v>
      </c>
    </row>
    <row r="54" spans="1:7" ht="15" customHeight="1">
      <c r="A54" s="24" t="s">
        <v>91</v>
      </c>
      <c r="B54" s="25">
        <f>+'charge du personnel'!C6</f>
        <v>0</v>
      </c>
      <c r="C54" s="28">
        <f t="shared" si="0"/>
        <v>0</v>
      </c>
      <c r="D54" s="25">
        <f>+'charge du personnel'!E6</f>
        <v>26327</v>
      </c>
      <c r="E54" s="28">
        <f t="shared" si="1"/>
        <v>1.1308848797250859E-2</v>
      </c>
      <c r="F54" s="25">
        <f>+'charge du personnel'!G6</f>
        <v>27116.81</v>
      </c>
      <c r="G54" s="66">
        <f t="shared" si="47"/>
        <v>6.1364132156596519E-3</v>
      </c>
    </row>
    <row r="55" spans="1:7" ht="15" customHeight="1">
      <c r="A55" s="24" t="s">
        <v>279</v>
      </c>
      <c r="B55" s="25">
        <f>+'charge du personnel'!C7</f>
        <v>0</v>
      </c>
      <c r="C55" s="28">
        <f t="shared" si="0"/>
        <v>0</v>
      </c>
      <c r="D55" s="25">
        <f>+'charge du personnel'!E7</f>
        <v>25560</v>
      </c>
      <c r="E55" s="28">
        <f t="shared" si="1"/>
        <v>1.0979381443298969E-2</v>
      </c>
      <c r="F55" s="25">
        <f>+'charge du personnel'!G7</f>
        <v>26327</v>
      </c>
      <c r="G55" s="66">
        <f t="shared" si="47"/>
        <v>5.9576827336501473E-3</v>
      </c>
    </row>
    <row r="56" spans="1:7" ht="15" customHeight="1">
      <c r="A56" s="24" t="s">
        <v>280</v>
      </c>
      <c r="B56" s="25">
        <f>+'charge du personnel'!C8</f>
        <v>0</v>
      </c>
      <c r="C56" s="28">
        <f t="shared" si="0"/>
        <v>0</v>
      </c>
      <c r="D56" s="25">
        <f>+'charge du personnel'!E8</f>
        <v>37488</v>
      </c>
      <c r="E56" s="28">
        <f t="shared" si="1"/>
        <v>1.6103092783505156E-2</v>
      </c>
      <c r="F56" s="25">
        <f>+'charge du personnel'!G8</f>
        <v>38613</v>
      </c>
      <c r="G56" s="66">
        <f t="shared" si="47"/>
        <v>8.737949762389681E-3</v>
      </c>
    </row>
    <row r="57" spans="1:7" ht="15" customHeight="1">
      <c r="A57" s="24" t="s">
        <v>281</v>
      </c>
      <c r="B57" s="25">
        <f>+'charge du personnel'!C9</f>
        <v>0</v>
      </c>
      <c r="C57" s="28">
        <f t="shared" si="0"/>
        <v>0</v>
      </c>
      <c r="D57" s="25">
        <f>+'charge du personnel'!E9</f>
        <v>59640</v>
      </c>
      <c r="E57" s="28">
        <f t="shared" si="1"/>
        <v>2.5618556701030928E-2</v>
      </c>
      <c r="F57" s="25">
        <f>+'charge du personnel'!G9</f>
        <v>61429</v>
      </c>
      <c r="G57" s="66">
        <f t="shared" si="47"/>
        <v>1.3901108848155692E-2</v>
      </c>
    </row>
    <row r="58" spans="1:7" ht="15" customHeight="1">
      <c r="A58" s="24" t="s">
        <v>285</v>
      </c>
      <c r="B58" s="25">
        <f>+'charge du personnel'!C10</f>
        <v>0</v>
      </c>
      <c r="C58" s="28">
        <f t="shared" si="0"/>
        <v>0</v>
      </c>
      <c r="D58" s="25">
        <f>+'charge du personnel'!E10</f>
        <v>59640</v>
      </c>
      <c r="E58" s="28">
        <f t="shared" si="1"/>
        <v>2.5618556701030928E-2</v>
      </c>
      <c r="F58" s="25">
        <f>+'charge du personnel'!G10</f>
        <v>59640</v>
      </c>
      <c r="G58" s="66">
        <f t="shared" si="47"/>
        <v>1.3496266123557366E-2</v>
      </c>
    </row>
    <row r="59" spans="1:7" ht="15" customHeight="1">
      <c r="A59" s="24" t="s">
        <v>91</v>
      </c>
      <c r="B59" s="25">
        <f>+'charge du personnel'!C11</f>
        <v>25560</v>
      </c>
      <c r="C59" s="28">
        <f t="shared" si="0"/>
        <v>7.5398230088495569E-2</v>
      </c>
      <c r="D59" s="25">
        <f>+'charge du personnel'!E11</f>
        <v>26327</v>
      </c>
      <c r="E59" s="28">
        <f t="shared" si="1"/>
        <v>1.1308848797250859E-2</v>
      </c>
      <c r="F59" s="25">
        <f>+'charge du personnel'!G11</f>
        <v>27117</v>
      </c>
      <c r="G59" s="66">
        <f t="shared" si="47"/>
        <v>6.1364562118126275E-3</v>
      </c>
    </row>
    <row r="60" spans="1:7" ht="15" customHeight="1">
      <c r="A60" s="24" t="s">
        <v>91</v>
      </c>
      <c r="B60" s="25">
        <f>+'charge du personnel'!C12</f>
        <v>0</v>
      </c>
      <c r="C60" s="28">
        <f t="shared" si="0"/>
        <v>0</v>
      </c>
      <c r="D60" s="25">
        <f>+'charge du personnel'!E12</f>
        <v>0</v>
      </c>
      <c r="E60" s="28">
        <f t="shared" si="1"/>
        <v>0</v>
      </c>
      <c r="F60" s="25">
        <f>+'charge du personnel'!G12</f>
        <v>27117</v>
      </c>
      <c r="G60" s="66">
        <f t="shared" si="47"/>
        <v>6.1364562118126275E-3</v>
      </c>
    </row>
    <row r="61" spans="1:7" ht="15" customHeight="1">
      <c r="A61" s="24" t="s">
        <v>91</v>
      </c>
      <c r="B61" s="25">
        <f>+'charge du personnel'!C6</f>
        <v>0</v>
      </c>
      <c r="C61" s="28">
        <f t="shared" si="0"/>
        <v>0</v>
      </c>
      <c r="D61" s="25">
        <v>0</v>
      </c>
      <c r="E61" s="28">
        <f t="shared" si="1"/>
        <v>0</v>
      </c>
      <c r="F61" s="25">
        <f>+'charge du personnel'!G6</f>
        <v>27116.81</v>
      </c>
      <c r="G61" s="66">
        <f t="shared" ref="G61" si="48">+F61/F$6</f>
        <v>6.1364132156596519E-3</v>
      </c>
    </row>
    <row r="62" spans="1:7" ht="15" customHeight="1">
      <c r="A62" s="24" t="s">
        <v>92</v>
      </c>
      <c r="B62" s="25">
        <f>+'charge du personnel'!C14</f>
        <v>0</v>
      </c>
      <c r="C62" s="28">
        <f t="shared" si="0"/>
        <v>0</v>
      </c>
      <c r="D62" s="25">
        <f>+'charge du personnel'!E14</f>
        <v>55000</v>
      </c>
      <c r="E62" s="28">
        <f t="shared" si="1"/>
        <v>2.3625429553264604E-2</v>
      </c>
      <c r="F62" s="25">
        <f>+'charge du personnel'!G14</f>
        <v>56650</v>
      </c>
      <c r="G62" s="66">
        <f t="shared" ref="G62" si="49">+F62/F$6</f>
        <v>1.2819642453043675E-2</v>
      </c>
    </row>
    <row r="63" spans="1:7" ht="15" customHeight="1">
      <c r="A63" s="24" t="s">
        <v>93</v>
      </c>
      <c r="B63" s="25">
        <f>+'charge du personnel'!C15</f>
        <v>55000</v>
      </c>
      <c r="C63" s="28">
        <f t="shared" si="0"/>
        <v>0.16224188790560473</v>
      </c>
      <c r="D63" s="25">
        <f>+'charge du personnel'!E15</f>
        <v>55000</v>
      </c>
      <c r="E63" s="28">
        <f t="shared" si="1"/>
        <v>2.3625429553264604E-2</v>
      </c>
      <c r="F63" s="25">
        <f>+'charge du personnel'!G15</f>
        <v>56650</v>
      </c>
      <c r="G63" s="66">
        <f t="shared" ref="G63" si="50">+F63/F$6</f>
        <v>1.2819642453043675E-2</v>
      </c>
    </row>
    <row r="64" spans="1:7" ht="15" customHeight="1">
      <c r="A64" s="51" t="s">
        <v>96</v>
      </c>
      <c r="B64" s="52">
        <f>+'charge du personnel'!C18</f>
        <v>83182.679999999993</v>
      </c>
      <c r="C64" s="53">
        <f t="shared" si="0"/>
        <v>0.24537663716814156</v>
      </c>
      <c r="D64" s="52">
        <f>+'charge du personnel'!E18</f>
        <v>206777.592</v>
      </c>
      <c r="E64" s="53">
        <f t="shared" si="1"/>
        <v>8.8821989690721651E-2</v>
      </c>
      <c r="F64" s="52">
        <f>+'charge du personnel'!G18</f>
        <v>223618.71840000001</v>
      </c>
      <c r="G64" s="65">
        <f t="shared" ref="G64" si="51">+F64/F$6</f>
        <v>5.0603919076714195E-2</v>
      </c>
    </row>
    <row r="65" spans="1:7" ht="15" customHeight="1">
      <c r="A65" s="24" t="s">
        <v>90</v>
      </c>
      <c r="B65" s="25">
        <f>+'charge du personnel'!C19</f>
        <v>15710.519999999999</v>
      </c>
      <c r="C65" s="28">
        <f t="shared" si="0"/>
        <v>4.6343716814159289E-2</v>
      </c>
      <c r="D65" s="25">
        <f>+'charge du personnel'!E19</f>
        <v>16181.76</v>
      </c>
      <c r="E65" s="28">
        <f t="shared" si="1"/>
        <v>6.9509278350515461E-3</v>
      </c>
      <c r="F65" s="25">
        <f>+'charge du personnel'!G19</f>
        <v>16667.28</v>
      </c>
      <c r="G65" s="66">
        <f t="shared" ref="G65" si="52">+F65/F$6</f>
        <v>3.7717311608961301E-3</v>
      </c>
    </row>
    <row r="66" spans="1:7" ht="15" customHeight="1">
      <c r="A66" s="24" t="s">
        <v>277</v>
      </c>
      <c r="B66" s="25">
        <f>+'charge du personnel'!C20</f>
        <v>15744.96</v>
      </c>
      <c r="C66" s="28">
        <f t="shared" si="0"/>
        <v>4.6445309734513274E-2</v>
      </c>
      <c r="D66" s="25">
        <f>+'charge du personnel'!E20</f>
        <v>16217.291999999999</v>
      </c>
      <c r="E66" s="28">
        <f t="shared" si="1"/>
        <v>6.9661907216494847E-3</v>
      </c>
      <c r="F66" s="25">
        <f>+'charge du personnel'!G20</f>
        <v>16703.777999999998</v>
      </c>
      <c r="G66" s="66">
        <f t="shared" ref="G66" si="53">+F66/F$6</f>
        <v>3.7799904955872366E-3</v>
      </c>
    </row>
    <row r="67" spans="1:7" ht="15" customHeight="1">
      <c r="A67" s="24" t="s">
        <v>286</v>
      </c>
      <c r="B67" s="25">
        <f>+'charge du personnel'!C21</f>
        <v>17892</v>
      </c>
      <c r="C67" s="28">
        <f t="shared" si="0"/>
        <v>5.2778761061946899E-2</v>
      </c>
      <c r="D67" s="25">
        <f>+'charge du personnel'!E21</f>
        <v>18428.759999999998</v>
      </c>
      <c r="E67" s="28">
        <f t="shared" si="1"/>
        <v>7.9161340206185555E-3</v>
      </c>
      <c r="F67" s="25">
        <f>+'charge du personnel'!G21</f>
        <v>18981.48</v>
      </c>
      <c r="G67" s="66">
        <f t="shared" ref="G67:G74" si="54">+F67/F$6</f>
        <v>4.2954243041412087E-3</v>
      </c>
    </row>
    <row r="68" spans="1:7" ht="15" customHeight="1">
      <c r="A68" s="24" t="s">
        <v>91</v>
      </c>
      <c r="B68" s="25">
        <f>+'charge du personnel'!C22</f>
        <v>0</v>
      </c>
      <c r="C68" s="28">
        <f t="shared" si="0"/>
        <v>0</v>
      </c>
      <c r="D68" s="25">
        <f>+'charge du personnel'!E22</f>
        <v>11057.34</v>
      </c>
      <c r="E68" s="28">
        <f t="shared" si="1"/>
        <v>4.749716494845361E-3</v>
      </c>
      <c r="F68" s="25">
        <f>+'charge du personnel'!G22</f>
        <v>11389.0602</v>
      </c>
      <c r="G68" s="66">
        <f t="shared" si="54"/>
        <v>2.5772935505770536E-3</v>
      </c>
    </row>
    <row r="69" spans="1:7" ht="15" customHeight="1">
      <c r="A69" s="24" t="s">
        <v>279</v>
      </c>
      <c r="B69" s="25">
        <f>+'charge du personnel'!C23</f>
        <v>0</v>
      </c>
      <c r="C69" s="28">
        <f t="shared" si="0"/>
        <v>0</v>
      </c>
      <c r="D69" s="25">
        <f>+'charge du personnel'!E23</f>
        <v>10735.199999999999</v>
      </c>
      <c r="E69" s="28">
        <f t="shared" si="1"/>
        <v>4.6113402061855662E-3</v>
      </c>
      <c r="F69" s="25">
        <f>+'charge du personnel'!G23</f>
        <v>11057.34</v>
      </c>
      <c r="G69" s="66">
        <f t="shared" si="54"/>
        <v>2.5022267481330618E-3</v>
      </c>
    </row>
    <row r="70" spans="1:7" ht="15" customHeight="1">
      <c r="A70" s="24" t="s">
        <v>280</v>
      </c>
      <c r="B70" s="25">
        <f>+'charge du personnel'!C24</f>
        <v>0</v>
      </c>
      <c r="C70" s="28">
        <f t="shared" si="0"/>
        <v>0</v>
      </c>
      <c r="D70" s="25">
        <f>+'charge du personnel'!E24</f>
        <v>15744.96</v>
      </c>
      <c r="E70" s="28">
        <f t="shared" si="1"/>
        <v>6.7632989690721646E-3</v>
      </c>
      <c r="F70" s="25">
        <f>+'charge du personnel'!G24</f>
        <v>16217.46</v>
      </c>
      <c r="G70" s="66">
        <f t="shared" si="54"/>
        <v>3.6699389002036657E-3</v>
      </c>
    </row>
    <row r="71" spans="1:7" ht="15" customHeight="1">
      <c r="A71" s="24" t="s">
        <v>287</v>
      </c>
      <c r="B71" s="25">
        <f>+'charge du personnel'!C25</f>
        <v>0</v>
      </c>
      <c r="C71" s="28">
        <f t="shared" si="0"/>
        <v>0</v>
      </c>
      <c r="D71" s="25">
        <f>+'charge du personnel'!E25</f>
        <v>25048.799999999999</v>
      </c>
      <c r="E71" s="28">
        <f t="shared" si="1"/>
        <v>1.075979381443299E-2</v>
      </c>
      <c r="F71" s="25">
        <f>+'charge du personnel'!G25</f>
        <v>25800.18</v>
      </c>
      <c r="G71" s="66">
        <f t="shared" si="54"/>
        <v>5.8384657162253908E-3</v>
      </c>
    </row>
    <row r="72" spans="1:7" ht="15" customHeight="1">
      <c r="A72" s="24" t="s">
        <v>285</v>
      </c>
      <c r="B72" s="25">
        <f>+'charge du personnel'!C26</f>
        <v>0</v>
      </c>
      <c r="C72" s="28">
        <f t="shared" si="0"/>
        <v>0</v>
      </c>
      <c r="D72" s="25">
        <f>+'charge du personnel'!E26</f>
        <v>25048.799999999999</v>
      </c>
      <c r="E72" s="28">
        <f t="shared" si="1"/>
        <v>1.075979381443299E-2</v>
      </c>
      <c r="F72" s="25">
        <f>+'charge du personnel'!G26</f>
        <v>25048.799999999999</v>
      </c>
      <c r="G72" s="66">
        <f t="shared" si="54"/>
        <v>5.6684317718940936E-3</v>
      </c>
    </row>
    <row r="73" spans="1:7" ht="15" customHeight="1">
      <c r="A73" s="24" t="s">
        <v>91</v>
      </c>
      <c r="B73" s="25">
        <f>+'charge du personnel'!C27</f>
        <v>10735.199999999999</v>
      </c>
      <c r="C73" s="28">
        <f t="shared" si="0"/>
        <v>3.1667256637168135E-2</v>
      </c>
      <c r="D73" s="25">
        <f>+'charge du personnel'!E27</f>
        <v>11057.34</v>
      </c>
      <c r="E73" s="28">
        <f t="shared" si="1"/>
        <v>4.749716494845361E-3</v>
      </c>
      <c r="F73" s="25">
        <f>+'charge du personnel'!G27</f>
        <v>11389.14</v>
      </c>
      <c r="G73" s="66">
        <f t="shared" si="54"/>
        <v>2.5773116089613034E-3</v>
      </c>
    </row>
    <row r="74" spans="1:7" ht="15" customHeight="1">
      <c r="A74" s="24" t="s">
        <v>91</v>
      </c>
      <c r="B74" s="25">
        <f>+'charge du personnel'!C28</f>
        <v>0</v>
      </c>
      <c r="C74" s="28">
        <f t="shared" si="0"/>
        <v>0</v>
      </c>
      <c r="D74" s="25">
        <f>+'charge du personnel'!E28</f>
        <v>0</v>
      </c>
      <c r="E74" s="28">
        <f t="shared" si="1"/>
        <v>0</v>
      </c>
      <c r="F74" s="25">
        <f>+'charge du personnel'!G28</f>
        <v>11389.14</v>
      </c>
      <c r="G74" s="66">
        <f t="shared" si="54"/>
        <v>2.5773116089613034E-3</v>
      </c>
    </row>
    <row r="75" spans="1:7" ht="15" customHeight="1">
      <c r="A75" s="24" t="s">
        <v>91</v>
      </c>
      <c r="B75" s="25">
        <f>+'charge du personnel'!C29</f>
        <v>0</v>
      </c>
      <c r="C75" s="28">
        <f t="shared" si="0"/>
        <v>0</v>
      </c>
      <c r="D75" s="25">
        <f>+'charge du personnel'!E29</f>
        <v>11057.34</v>
      </c>
      <c r="E75" s="28">
        <f t="shared" si="1"/>
        <v>4.749716494845361E-3</v>
      </c>
      <c r="F75" s="25">
        <f>+'charge du personnel'!G29</f>
        <v>11389.0602</v>
      </c>
      <c r="G75" s="66">
        <f t="shared" ref="G75" si="55">+F75/F$6</f>
        <v>2.5772935505770536E-3</v>
      </c>
    </row>
    <row r="76" spans="1:7" ht="15" customHeight="1">
      <c r="A76" s="24" t="s">
        <v>92</v>
      </c>
      <c r="B76" s="25">
        <f>+'charge du personnel'!C30</f>
        <v>0</v>
      </c>
      <c r="C76" s="28">
        <f t="shared" si="0"/>
        <v>0</v>
      </c>
      <c r="D76" s="25">
        <f>+'charge du personnel'!E30</f>
        <v>23100</v>
      </c>
      <c r="E76" s="28">
        <f t="shared" si="1"/>
        <v>9.9226804123711335E-3</v>
      </c>
      <c r="F76" s="25">
        <f>+'charge du personnel'!G30</f>
        <v>23793</v>
      </c>
      <c r="G76" s="66">
        <f t="shared" ref="G76" si="56">+F76/F$6</f>
        <v>5.3842498302783433E-3</v>
      </c>
    </row>
    <row r="77" spans="1:7" ht="15" customHeight="1">
      <c r="A77" s="24" t="s">
        <v>93</v>
      </c>
      <c r="B77" s="25">
        <f>+'charge du personnel'!C31</f>
        <v>23100</v>
      </c>
      <c r="C77" s="28">
        <f t="shared" si="0"/>
        <v>6.8141592920353988E-2</v>
      </c>
      <c r="D77" s="25">
        <f>+'charge du personnel'!E31</f>
        <v>23100</v>
      </c>
      <c r="E77" s="28">
        <f t="shared" si="1"/>
        <v>9.9226804123711335E-3</v>
      </c>
      <c r="F77" s="25">
        <f>+'charge du personnel'!G31</f>
        <v>23793</v>
      </c>
      <c r="G77" s="66">
        <f t="shared" ref="G77" si="57">+F77/F$6</f>
        <v>5.3842498302783433E-3</v>
      </c>
    </row>
    <row r="78" spans="1:7" ht="15" customHeight="1">
      <c r="A78" s="63" t="s">
        <v>43</v>
      </c>
      <c r="B78" s="48">
        <f>+B40+B41-B43-B49</f>
        <v>-601057.67999999993</v>
      </c>
      <c r="C78" s="49">
        <f t="shared" si="0"/>
        <v>-1.7730315044247786</v>
      </c>
      <c r="D78" s="48">
        <f>+D40+D41-D43-D49</f>
        <v>-162408.19200000004</v>
      </c>
      <c r="E78" s="49">
        <f t="shared" si="1"/>
        <v>-6.9762969072164963E-2</v>
      </c>
      <c r="F78" s="48">
        <f>+F40+F41-F43-F49</f>
        <v>950175.76159999997</v>
      </c>
      <c r="G78" s="64">
        <f t="shared" ref="G78" si="58">+F78/F$6</f>
        <v>0.21502053894546277</v>
      </c>
    </row>
    <row r="79" spans="1:7" ht="15" customHeight="1">
      <c r="A79" s="63" t="s">
        <v>44</v>
      </c>
      <c r="B79" s="48">
        <f>+B80</f>
        <v>16520.833333333336</v>
      </c>
      <c r="C79" s="49">
        <f t="shared" si="0"/>
        <v>4.8734021632251726E-2</v>
      </c>
      <c r="D79" s="48">
        <f>+D80</f>
        <v>53375</v>
      </c>
      <c r="E79" s="49">
        <f t="shared" si="1"/>
        <v>2.2927405498281785E-2</v>
      </c>
      <c r="F79" s="48">
        <f>+F80</f>
        <v>58375</v>
      </c>
      <c r="G79" s="64">
        <f t="shared" ref="G79" si="59">+F79/F$6</f>
        <v>1.321000226295542E-2</v>
      </c>
    </row>
    <row r="80" spans="1:7" ht="15" customHeight="1">
      <c r="A80" s="73" t="s">
        <v>45</v>
      </c>
      <c r="B80" s="74">
        <f>+B82+B83+B81</f>
        <v>16520.833333333336</v>
      </c>
      <c r="C80" s="75">
        <f t="shared" si="0"/>
        <v>4.8734021632251726E-2</v>
      </c>
      <c r="D80" s="74">
        <f>+D82+D83+D81</f>
        <v>53375</v>
      </c>
      <c r="E80" s="75">
        <f t="shared" si="1"/>
        <v>2.2927405498281785E-2</v>
      </c>
      <c r="F80" s="74">
        <f>+F82+F83+F81</f>
        <v>58375</v>
      </c>
      <c r="G80" s="76">
        <f t="shared" ref="G80" si="60">+F80/F$6</f>
        <v>1.321000226295542E-2</v>
      </c>
    </row>
    <row r="81" spans="1:7" ht="15" customHeight="1">
      <c r="A81" s="81" t="s">
        <v>46</v>
      </c>
      <c r="B81" s="82">
        <f>+Investissements!G7</f>
        <v>8333.3333333333339</v>
      </c>
      <c r="C81" s="83">
        <f t="shared" si="0"/>
        <v>2.4582104228121928E-2</v>
      </c>
      <c r="D81" s="82">
        <f>+Investissements!G23</f>
        <v>35000</v>
      </c>
      <c r="E81" s="83">
        <f t="shared" ref="E81:E100" si="61">+D81/D$6</f>
        <v>1.5034364261168385E-2</v>
      </c>
      <c r="F81" s="82">
        <f>+Investissements!G29</f>
        <v>40000</v>
      </c>
      <c r="G81" s="84">
        <f t="shared" ref="G81:G82" si="62">+F81/F$6</f>
        <v>9.051821679112922E-3</v>
      </c>
    </row>
    <row r="82" spans="1:7" ht="24" customHeight="1">
      <c r="A82" s="81" t="s">
        <v>47</v>
      </c>
      <c r="B82" s="82">
        <f>+Investissements!G10</f>
        <v>8187.5</v>
      </c>
      <c r="C82" s="83">
        <f t="shared" si="0"/>
        <v>2.4151917404129794E-2</v>
      </c>
      <c r="D82" s="82">
        <f>+Investissements!G24</f>
        <v>18375</v>
      </c>
      <c r="E82" s="83">
        <f t="shared" si="61"/>
        <v>7.8930412371134018E-3</v>
      </c>
      <c r="F82" s="82">
        <f>+Investissements!G30</f>
        <v>18375</v>
      </c>
      <c r="G82" s="84">
        <f t="shared" si="62"/>
        <v>4.1581805838424987E-3</v>
      </c>
    </row>
    <row r="83" spans="1:7" ht="15" customHeight="1">
      <c r="A83" s="81"/>
      <c r="B83" s="82"/>
      <c r="C83" s="83">
        <f t="shared" ref="C83:C100" si="63">+B83/$B$6</f>
        <v>0</v>
      </c>
      <c r="D83" s="82"/>
      <c r="E83" s="83">
        <f t="shared" si="61"/>
        <v>0</v>
      </c>
      <c r="F83" s="82"/>
      <c r="G83" s="84">
        <f t="shared" ref="G83" si="64">+F83/F$6</f>
        <v>0</v>
      </c>
    </row>
    <row r="84" spans="1:7" ht="15" customHeight="1">
      <c r="A84" s="63" t="s">
        <v>48</v>
      </c>
      <c r="B84" s="48">
        <f>+B78-B79</f>
        <v>-617578.51333333331</v>
      </c>
      <c r="C84" s="49">
        <f t="shared" si="63"/>
        <v>-1.8217655260570305</v>
      </c>
      <c r="D84" s="48">
        <f>+D78-D79</f>
        <v>-215783.19200000004</v>
      </c>
      <c r="E84" s="49">
        <f t="shared" si="61"/>
        <v>-9.2690374570446751E-2</v>
      </c>
      <c r="F84" s="48">
        <f>+F78-F79</f>
        <v>891800.76159999997</v>
      </c>
      <c r="G84" s="64">
        <f t="shared" ref="G84" si="65">+F84/F$6</f>
        <v>0.20181053668250734</v>
      </c>
    </row>
    <row r="85" spans="1:7" ht="15" customHeight="1">
      <c r="A85" s="85" t="s">
        <v>49</v>
      </c>
      <c r="B85" s="86"/>
      <c r="C85" s="87">
        <f t="shared" si="63"/>
        <v>0</v>
      </c>
      <c r="D85" s="86"/>
      <c r="E85" s="87">
        <f t="shared" si="61"/>
        <v>0</v>
      </c>
      <c r="F85" s="86"/>
      <c r="G85" s="88">
        <f t="shared" ref="G85" si="66">+F85/F$6</f>
        <v>0</v>
      </c>
    </row>
    <row r="86" spans="1:7" ht="15" customHeight="1">
      <c r="A86" s="51" t="s">
        <v>50</v>
      </c>
      <c r="B86" s="52">
        <f>SUM(B87:B88)</f>
        <v>5467.0033666666677</v>
      </c>
      <c r="C86" s="53">
        <f t="shared" si="63"/>
        <v>1.612685358898722E-2</v>
      </c>
      <c r="D86" s="52">
        <f>SUM(D87:D88)</f>
        <v>4248.4676000000009</v>
      </c>
      <c r="E86" s="53">
        <f t="shared" si="61"/>
        <v>1.8249431271477666E-3</v>
      </c>
      <c r="F86" s="52">
        <f>SUM(F87:F88)</f>
        <v>3437.6252000000004</v>
      </c>
      <c r="G86" s="65">
        <f t="shared" ref="G86" si="67">+F86/F$6</f>
        <v>7.7791925775062246E-4</v>
      </c>
    </row>
    <row r="87" spans="1:7" ht="15" customHeight="1">
      <c r="A87" s="77" t="s">
        <v>51</v>
      </c>
      <c r="B87" s="78">
        <v>316.66666666666669</v>
      </c>
      <c r="C87" s="79">
        <f t="shared" si="63"/>
        <v>9.3411996066863326E-4</v>
      </c>
      <c r="D87" s="78">
        <v>199.99999999999997</v>
      </c>
      <c r="E87" s="79">
        <f t="shared" si="61"/>
        <v>8.5910652920962192E-5</v>
      </c>
      <c r="F87" s="78">
        <v>199.99999999999997</v>
      </c>
      <c r="G87" s="80">
        <f t="shared" ref="G87" si="68">+F87/F$6</f>
        <v>4.52591083955646E-5</v>
      </c>
    </row>
    <row r="88" spans="1:7" ht="15" customHeight="1">
      <c r="A88" s="81" t="s">
        <v>52</v>
      </c>
      <c r="B88" s="82">
        <v>5150.3367000000007</v>
      </c>
      <c r="C88" s="83">
        <f t="shared" si="63"/>
        <v>1.5192733628318586E-2</v>
      </c>
      <c r="D88" s="82">
        <v>4048.4676000000009</v>
      </c>
      <c r="E88" s="83">
        <f t="shared" si="61"/>
        <v>1.7390324742268045E-3</v>
      </c>
      <c r="F88" s="82">
        <v>3237.6252000000004</v>
      </c>
      <c r="G88" s="84">
        <f t="shared" ref="G88" si="69">+F88/F$6</f>
        <v>7.3266014935505783E-4</v>
      </c>
    </row>
    <row r="89" spans="1:7" ht="15" customHeight="1">
      <c r="A89" s="63" t="s">
        <v>53</v>
      </c>
      <c r="B89" s="48">
        <f>+B85-B86</f>
        <v>-5467.0033666666677</v>
      </c>
      <c r="C89" s="49">
        <f t="shared" si="63"/>
        <v>-1.612685358898722E-2</v>
      </c>
      <c r="D89" s="48">
        <f>+D85-D86</f>
        <v>-4248.4676000000009</v>
      </c>
      <c r="E89" s="49">
        <f t="shared" si="61"/>
        <v>-1.8249431271477666E-3</v>
      </c>
      <c r="F89" s="48">
        <f>+F85-F86</f>
        <v>-3437.6252000000004</v>
      </c>
      <c r="G89" s="64">
        <f t="shared" ref="G89" si="70">+F89/F$6</f>
        <v>-7.7791925775062246E-4</v>
      </c>
    </row>
    <row r="90" spans="1:7" ht="15" customHeight="1">
      <c r="A90" s="63" t="s">
        <v>54</v>
      </c>
      <c r="B90" s="48">
        <f>+B84+B89</f>
        <v>-623045.51669999992</v>
      </c>
      <c r="C90" s="49">
        <f t="shared" si="63"/>
        <v>-1.8378923796460174</v>
      </c>
      <c r="D90" s="48">
        <f>+D84+D89</f>
        <v>-220031.65960000004</v>
      </c>
      <c r="E90" s="49">
        <f t="shared" si="61"/>
        <v>-9.4515317697594525E-2</v>
      </c>
      <c r="F90" s="48">
        <f>+F84+F89</f>
        <v>888363.13639999996</v>
      </c>
      <c r="G90" s="64">
        <f t="shared" ref="G90" si="71">+F90/F$6</f>
        <v>0.20103261742475673</v>
      </c>
    </row>
    <row r="91" spans="1:7" ht="15" customHeight="1">
      <c r="A91" s="85" t="s">
        <v>55</v>
      </c>
      <c r="B91" s="86">
        <f>SUM(B92:B93)</f>
        <v>15277.77777777781</v>
      </c>
      <c r="C91" s="87">
        <f t="shared" si="63"/>
        <v>4.5067191084890296E-2</v>
      </c>
      <c r="D91" s="86">
        <f>SUM(D92:D93)</f>
        <v>13333.33333333333</v>
      </c>
      <c r="E91" s="87">
        <f t="shared" si="61"/>
        <v>5.7273768613974787E-3</v>
      </c>
      <c r="F91" s="86">
        <f>SUM(F92:F93)</f>
        <v>13333.33333333333</v>
      </c>
      <c r="G91" s="88">
        <f t="shared" ref="G91" si="72">+F91/F$6</f>
        <v>3.0172738930376399E-3</v>
      </c>
    </row>
    <row r="92" spans="1:7" ht="15" customHeight="1">
      <c r="A92" s="81" t="s">
        <v>56</v>
      </c>
      <c r="B92" s="82">
        <v>3611.1111111111099</v>
      </c>
      <c r="C92" s="83">
        <f t="shared" si="63"/>
        <v>1.0652245165519499E-2</v>
      </c>
      <c r="D92" s="82">
        <v>3333.3333333333298</v>
      </c>
      <c r="E92" s="83">
        <f t="shared" si="61"/>
        <v>1.4318442153493686E-3</v>
      </c>
      <c r="F92" s="82">
        <v>3333.3333333333298</v>
      </c>
      <c r="G92" s="84">
        <f t="shared" ref="G92" si="73">+F92/F$6</f>
        <v>7.5431847325940933E-4</v>
      </c>
    </row>
    <row r="93" spans="1:7" ht="15" customHeight="1">
      <c r="A93" s="77" t="s">
        <v>57</v>
      </c>
      <c r="B93" s="78">
        <v>11666.666666666701</v>
      </c>
      <c r="C93" s="79">
        <f t="shared" si="63"/>
        <v>3.4414945919370797E-2</v>
      </c>
      <c r="D93" s="78">
        <v>10000</v>
      </c>
      <c r="E93" s="79">
        <f t="shared" si="61"/>
        <v>4.2955326460481103E-3</v>
      </c>
      <c r="F93" s="78">
        <v>10000</v>
      </c>
      <c r="G93" s="80">
        <f t="shared" ref="G93" si="74">+F93/F$6</f>
        <v>2.2629554197782305E-3</v>
      </c>
    </row>
    <row r="94" spans="1:7" ht="15" customHeight="1">
      <c r="A94" s="51" t="s">
        <v>58</v>
      </c>
      <c r="B94" s="52"/>
      <c r="C94" s="53">
        <f t="shared" si="63"/>
        <v>0</v>
      </c>
      <c r="D94" s="52"/>
      <c r="E94" s="53">
        <f t="shared" si="61"/>
        <v>0</v>
      </c>
      <c r="F94" s="52"/>
      <c r="G94" s="65">
        <f t="shared" ref="G94" si="75">+F94/F$6</f>
        <v>0</v>
      </c>
    </row>
    <row r="95" spans="1:7" ht="15" customHeight="1">
      <c r="A95" s="63" t="s">
        <v>59</v>
      </c>
      <c r="B95" s="48">
        <f>+B91-B94</f>
        <v>15277.77777777781</v>
      </c>
      <c r="C95" s="49">
        <f t="shared" si="63"/>
        <v>4.5067191084890296E-2</v>
      </c>
      <c r="D95" s="48">
        <f>+D91-D94</f>
        <v>13333.33333333333</v>
      </c>
      <c r="E95" s="49">
        <f t="shared" si="61"/>
        <v>5.7273768613974787E-3</v>
      </c>
      <c r="F95" s="48">
        <f>+F91-F94</f>
        <v>13333.33333333333</v>
      </c>
      <c r="G95" s="64">
        <f t="shared" ref="G95" si="76">+F95/F$6</f>
        <v>3.0172738930376399E-3</v>
      </c>
    </row>
    <row r="96" spans="1:7" ht="15" customHeight="1">
      <c r="A96" s="63" t="s">
        <v>60</v>
      </c>
      <c r="B96" s="48">
        <f>+B90+B95</f>
        <v>-607767.73892222205</v>
      </c>
      <c r="C96" s="49">
        <f t="shared" si="63"/>
        <v>-1.792825188561127</v>
      </c>
      <c r="D96" s="48">
        <f>+D90+D95</f>
        <v>-206698.3262666667</v>
      </c>
      <c r="E96" s="49">
        <f t="shared" si="61"/>
        <v>-8.8787940836197038E-2</v>
      </c>
      <c r="F96" s="48">
        <f>+F90+F95</f>
        <v>901696.46973333333</v>
      </c>
      <c r="G96" s="64">
        <f t="shared" ref="G96" si="77">+F96/F$6</f>
        <v>0.20404989131779439</v>
      </c>
    </row>
    <row r="97" spans="1:7" ht="15" customHeight="1">
      <c r="A97" s="85" t="s">
        <v>61</v>
      </c>
      <c r="B97" s="86"/>
      <c r="C97" s="87">
        <f t="shared" si="63"/>
        <v>0</v>
      </c>
      <c r="D97" s="86"/>
      <c r="E97" s="87">
        <f t="shared" si="61"/>
        <v>0</v>
      </c>
      <c r="F97" s="86"/>
      <c r="G97" s="88">
        <f t="shared" ref="G97" si="78">+F97/F$6</f>
        <v>0</v>
      </c>
    </row>
    <row r="98" spans="1:7" ht="15" customHeight="1">
      <c r="A98" s="51" t="s">
        <v>62</v>
      </c>
      <c r="B98" s="52">
        <v>680.00344015991857</v>
      </c>
      <c r="C98" s="53">
        <f t="shared" si="63"/>
        <v>2.0059098529791107E-3</v>
      </c>
      <c r="D98" s="52"/>
      <c r="E98" s="53">
        <f t="shared" si="61"/>
        <v>0</v>
      </c>
      <c r="F98" s="52">
        <f>+F96*0.28</f>
        <v>252475.01152533336</v>
      </c>
      <c r="G98" s="65">
        <f t="shared" ref="G98" si="79">+F98/F$6</f>
        <v>5.713396956898243E-2</v>
      </c>
    </row>
    <row r="99" spans="1:7" ht="15" customHeight="1">
      <c r="A99" s="63" t="s">
        <v>63</v>
      </c>
      <c r="B99" s="48">
        <f>+B96-B97-B98</f>
        <v>-608447.74236238201</v>
      </c>
      <c r="C99" s="49">
        <f t="shared" si="63"/>
        <v>-1.7948310984141063</v>
      </c>
      <c r="D99" s="48">
        <f>+D96-D97-D98</f>
        <v>-206698.3262666667</v>
      </c>
      <c r="E99" s="49">
        <f t="shared" si="61"/>
        <v>-8.8787940836197038E-2</v>
      </c>
      <c r="F99" s="48">
        <f>+F96-F97-F98</f>
        <v>649221.45820799994</v>
      </c>
      <c r="G99" s="64">
        <f t="shared" ref="G99" si="80">+F99/F$6</f>
        <v>0.14691592174881193</v>
      </c>
    </row>
    <row r="100" spans="1:7" ht="15" customHeight="1">
      <c r="A100" s="89" t="s">
        <v>64</v>
      </c>
      <c r="B100" s="90">
        <f>+B99+B79</f>
        <v>-591926.90902904863</v>
      </c>
      <c r="C100" s="91">
        <f t="shared" si="63"/>
        <v>-1.7460970767818544</v>
      </c>
      <c r="D100" s="90">
        <f>+D99+D79</f>
        <v>-153323.3262666667</v>
      </c>
      <c r="E100" s="91">
        <f t="shared" si="61"/>
        <v>-6.5860535337915249E-2</v>
      </c>
      <c r="F100" s="90">
        <f>+F99+F79</f>
        <v>707596.45820799994</v>
      </c>
      <c r="G100" s="92">
        <f t="shared" ref="G100" si="81">+F100/F$6</f>
        <v>0.16012592401176737</v>
      </c>
    </row>
    <row r="102" spans="1:7">
      <c r="F102" s="12"/>
    </row>
  </sheetData>
  <mergeCells count="2"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739E-AC81-41D4-B44F-DACFDE148C25}">
  <dimension ref="A1:AR71"/>
  <sheetViews>
    <sheetView showGridLines="0" topLeftCell="A36" zoomScale="70" zoomScaleNormal="70" workbookViewId="0">
      <selection activeCell="D76" sqref="D76"/>
    </sheetView>
  </sheetViews>
  <sheetFormatPr baseColWidth="10" defaultRowHeight="15"/>
  <cols>
    <col min="1" max="1" width="17.33203125" style="193" customWidth="1"/>
    <col min="2" max="2" width="25.33203125" style="283" customWidth="1"/>
    <col min="3" max="3" width="22.5" style="283" customWidth="1"/>
    <col min="4" max="4" width="14.5" style="283" bestFit="1" customWidth="1"/>
    <col min="5" max="5" width="8" style="283" bestFit="1" customWidth="1"/>
    <col min="6" max="6" width="14.5" style="283" bestFit="1" customWidth="1"/>
    <col min="7" max="8" width="7.6640625" style="283" bestFit="1" customWidth="1"/>
    <col min="9" max="9" width="10" style="283" bestFit="1" customWidth="1"/>
    <col min="10" max="10" width="16.1640625" style="283" bestFit="1" customWidth="1"/>
    <col min="11" max="11" width="14.5" style="283" bestFit="1" customWidth="1"/>
    <col min="12" max="12" width="16.1640625" style="283" bestFit="1" customWidth="1"/>
    <col min="13" max="13" width="16.1640625" style="13" bestFit="1" customWidth="1"/>
    <col min="14" max="22" width="14.5" style="283" bestFit="1" customWidth="1"/>
    <col min="23" max="23" width="15.1640625" style="283" customWidth="1"/>
    <col min="24" max="25" width="14.5" style="283" bestFit="1" customWidth="1"/>
    <col min="26" max="26" width="18.33203125" style="13" bestFit="1" customWidth="1"/>
    <col min="27" max="38" width="14.5" style="283" bestFit="1" customWidth="1"/>
    <col min="39" max="39" width="16.1640625" style="13" bestFit="1" customWidth="1"/>
    <col min="40" max="40" width="16.5" bestFit="1" customWidth="1"/>
    <col min="41" max="44" width="13.33203125" bestFit="1" customWidth="1"/>
  </cols>
  <sheetData>
    <row r="1" spans="1:44" ht="22" thickBot="1">
      <c r="A1" s="284" t="s">
        <v>225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5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5"/>
    </row>
    <row r="2" spans="1:44" ht="17" thickBot="1">
      <c r="B2" s="194"/>
      <c r="C2" s="194"/>
      <c r="D2" s="326">
        <v>2019</v>
      </c>
      <c r="E2" s="327"/>
      <c r="F2" s="327"/>
      <c r="G2" s="327"/>
      <c r="H2" s="327"/>
      <c r="I2" s="327"/>
      <c r="J2" s="327"/>
      <c r="K2" s="327"/>
      <c r="L2" s="327"/>
      <c r="M2" s="285"/>
      <c r="N2" s="196">
        <v>2020</v>
      </c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7"/>
      <c r="Z2" s="285"/>
      <c r="AA2" s="196">
        <v>2021</v>
      </c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7"/>
      <c r="AM2" s="285"/>
    </row>
    <row r="3" spans="1:44" s="202" customFormat="1" ht="17" thickBot="1">
      <c r="A3" s="198"/>
      <c r="B3" s="199"/>
      <c r="C3" s="199"/>
      <c r="D3" s="200">
        <v>43556</v>
      </c>
      <c r="E3" s="201">
        <v>43586</v>
      </c>
      <c r="F3" s="201">
        <v>43617</v>
      </c>
      <c r="G3" s="201">
        <v>43647</v>
      </c>
      <c r="H3" s="201">
        <v>43678</v>
      </c>
      <c r="I3" s="201">
        <v>43709</v>
      </c>
      <c r="J3" s="201">
        <v>43739</v>
      </c>
      <c r="K3" s="201">
        <v>43770</v>
      </c>
      <c r="L3" s="201">
        <v>43800</v>
      </c>
      <c r="M3" s="286" t="s">
        <v>226</v>
      </c>
      <c r="N3" s="201">
        <v>43831</v>
      </c>
      <c r="O3" s="201">
        <v>43862</v>
      </c>
      <c r="P3" s="201">
        <v>43891</v>
      </c>
      <c r="Q3" s="201">
        <v>43922</v>
      </c>
      <c r="R3" s="201">
        <v>43952</v>
      </c>
      <c r="S3" s="201">
        <v>43983</v>
      </c>
      <c r="T3" s="201">
        <v>44013</v>
      </c>
      <c r="U3" s="201">
        <v>44044</v>
      </c>
      <c r="V3" s="201">
        <v>44075</v>
      </c>
      <c r="W3" s="201">
        <v>44105</v>
      </c>
      <c r="X3" s="201">
        <v>44136</v>
      </c>
      <c r="Y3" s="201">
        <v>44166</v>
      </c>
      <c r="Z3" s="286" t="s">
        <v>227</v>
      </c>
      <c r="AA3" s="201">
        <v>44197</v>
      </c>
      <c r="AB3" s="201">
        <v>44228</v>
      </c>
      <c r="AC3" s="201">
        <v>44256</v>
      </c>
      <c r="AD3" s="201">
        <v>44287</v>
      </c>
      <c r="AE3" s="201">
        <v>44317</v>
      </c>
      <c r="AF3" s="201">
        <v>44348</v>
      </c>
      <c r="AG3" s="201">
        <v>44378</v>
      </c>
      <c r="AH3" s="201">
        <v>44409</v>
      </c>
      <c r="AI3" s="201">
        <v>44440</v>
      </c>
      <c r="AJ3" s="201">
        <v>44470</v>
      </c>
      <c r="AK3" s="201">
        <v>44501</v>
      </c>
      <c r="AL3" s="201">
        <v>44531</v>
      </c>
      <c r="AM3" s="286" t="s">
        <v>228</v>
      </c>
    </row>
    <row r="4" spans="1:44" s="208" customFormat="1" ht="22" thickBot="1">
      <c r="A4" s="203" t="s">
        <v>229</v>
      </c>
      <c r="B4" s="204" t="s">
        <v>253</v>
      </c>
      <c r="C4" s="205"/>
      <c r="D4" s="206"/>
      <c r="E4" s="207"/>
      <c r="F4" s="207"/>
      <c r="G4" s="207"/>
      <c r="H4" s="207"/>
      <c r="I4" s="207"/>
      <c r="J4" s="207"/>
      <c r="K4" s="207"/>
      <c r="L4" s="207"/>
      <c r="M4" s="287">
        <f t="shared" ref="M4:M65" si="0">SUM(D4:L4)</f>
        <v>0</v>
      </c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8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87"/>
    </row>
    <row r="5" spans="1:44" ht="16">
      <c r="A5" s="209">
        <v>20</v>
      </c>
      <c r="B5" s="210" t="s">
        <v>230</v>
      </c>
      <c r="C5" s="210" t="s">
        <v>231</v>
      </c>
      <c r="D5" s="211"/>
      <c r="E5" s="212"/>
      <c r="F5" s="212"/>
      <c r="G5" s="210"/>
      <c r="H5" s="210"/>
      <c r="I5" s="210"/>
      <c r="J5" s="210"/>
      <c r="K5" s="210"/>
      <c r="L5" s="210"/>
      <c r="M5" s="288">
        <f t="shared" si="0"/>
        <v>0</v>
      </c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88">
        <f>SUM(N5:Y5)</f>
        <v>0</v>
      </c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88">
        <f>SUM(AA5:AL5)</f>
        <v>0</v>
      </c>
    </row>
    <row r="6" spans="1:44" ht="19">
      <c r="A6" s="214">
        <v>1000</v>
      </c>
      <c r="B6" s="215" t="s">
        <v>232</v>
      </c>
      <c r="C6" s="216" t="s">
        <v>78</v>
      </c>
      <c r="D6" s="217">
        <f>+A6*A5</f>
        <v>20000</v>
      </c>
      <c r="E6" s="218">
        <v>0</v>
      </c>
      <c r="F6" s="219">
        <v>0</v>
      </c>
      <c r="G6" s="216"/>
      <c r="H6" s="216"/>
      <c r="I6" s="216"/>
      <c r="J6" s="219"/>
      <c r="K6" s="216"/>
      <c r="L6" s="216"/>
      <c r="M6" s="289">
        <f t="shared" si="0"/>
        <v>20000</v>
      </c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89">
        <f t="shared" ref="Z6:Z65" si="1">SUM(N6:Y6)</f>
        <v>0</v>
      </c>
      <c r="AA6" s="216"/>
      <c r="AB6" s="216"/>
      <c r="AC6" s="216"/>
      <c r="AD6" s="216"/>
      <c r="AE6" s="216"/>
      <c r="AF6" s="216"/>
      <c r="AG6" s="216"/>
      <c r="AH6" s="216"/>
      <c r="AI6" s="216"/>
      <c r="AJ6" s="216">
        <f>-D6</f>
        <v>-20000</v>
      </c>
      <c r="AK6" s="216"/>
      <c r="AL6" s="216"/>
      <c r="AM6" s="289">
        <f t="shared" ref="AM6:AM65" si="2">SUM(AA6:AL6)</f>
        <v>-20000</v>
      </c>
      <c r="AN6" s="238"/>
      <c r="AO6" s="13"/>
      <c r="AP6" s="13"/>
      <c r="AQ6" s="13"/>
      <c r="AR6" s="13"/>
    </row>
    <row r="7" spans="1:44" ht="19">
      <c r="A7" s="221">
        <v>600</v>
      </c>
      <c r="B7" s="215" t="s">
        <v>233</v>
      </c>
      <c r="C7" s="220" t="s">
        <v>234</v>
      </c>
      <c r="D7" s="217">
        <v>0</v>
      </c>
      <c r="E7" s="218">
        <v>0</v>
      </c>
      <c r="F7" s="219">
        <v>0</v>
      </c>
      <c r="G7" s="216"/>
      <c r="H7" s="216"/>
      <c r="I7" s="216"/>
      <c r="J7" s="219">
        <v>10</v>
      </c>
      <c r="K7" s="216">
        <v>10</v>
      </c>
      <c r="L7" s="216"/>
      <c r="M7" s="289">
        <f t="shared" si="0"/>
        <v>20</v>
      </c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89">
        <f t="shared" si="1"/>
        <v>0</v>
      </c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89">
        <f t="shared" si="2"/>
        <v>0</v>
      </c>
      <c r="AN7" s="238"/>
      <c r="AO7" s="13"/>
      <c r="AP7" s="13"/>
      <c r="AQ7" s="13"/>
      <c r="AR7" s="13"/>
    </row>
    <row r="8" spans="1:44" ht="19">
      <c r="A8" s="222"/>
      <c r="B8" s="223"/>
      <c r="C8" s="224" t="s">
        <v>235</v>
      </c>
      <c r="D8" s="225"/>
      <c r="E8" s="226"/>
      <c r="F8" s="227"/>
      <c r="G8" s="224"/>
      <c r="H8" s="224"/>
      <c r="I8" s="224"/>
      <c r="J8" s="227"/>
      <c r="K8" s="228">
        <f>+$A$7*$A$5</f>
        <v>12000</v>
      </c>
      <c r="L8" s="228">
        <f>+$A$7*$A$5</f>
        <v>12000</v>
      </c>
      <c r="M8" s="290">
        <f t="shared" si="0"/>
        <v>24000</v>
      </c>
      <c r="N8" s="228">
        <f t="shared" ref="N8:Y8" si="3">+$A$7*$A$5</f>
        <v>12000</v>
      </c>
      <c r="O8" s="228">
        <f t="shared" si="3"/>
        <v>12000</v>
      </c>
      <c r="P8" s="228">
        <f t="shared" si="3"/>
        <v>12000</v>
      </c>
      <c r="Q8" s="228">
        <f t="shared" si="3"/>
        <v>12000</v>
      </c>
      <c r="R8" s="228">
        <f t="shared" si="3"/>
        <v>12000</v>
      </c>
      <c r="S8" s="228">
        <f t="shared" si="3"/>
        <v>12000</v>
      </c>
      <c r="T8" s="228">
        <f t="shared" si="3"/>
        <v>12000</v>
      </c>
      <c r="U8" s="228">
        <f t="shared" si="3"/>
        <v>12000</v>
      </c>
      <c r="V8" s="228">
        <f t="shared" si="3"/>
        <v>12000</v>
      </c>
      <c r="W8" s="228">
        <f t="shared" si="3"/>
        <v>12000</v>
      </c>
      <c r="X8" s="228">
        <f t="shared" si="3"/>
        <v>12000</v>
      </c>
      <c r="Y8" s="228">
        <f t="shared" si="3"/>
        <v>12000</v>
      </c>
      <c r="Z8" s="290">
        <f t="shared" si="1"/>
        <v>144000</v>
      </c>
      <c r="AA8" s="228">
        <f t="shared" ref="AA8:AJ8" si="4">+$A$7*$A$5</f>
        <v>12000</v>
      </c>
      <c r="AB8" s="228">
        <f t="shared" si="4"/>
        <v>12000</v>
      </c>
      <c r="AC8" s="228">
        <f t="shared" si="4"/>
        <v>12000</v>
      </c>
      <c r="AD8" s="228">
        <f t="shared" si="4"/>
        <v>12000</v>
      </c>
      <c r="AE8" s="228">
        <f t="shared" si="4"/>
        <v>12000</v>
      </c>
      <c r="AF8" s="228">
        <f t="shared" si="4"/>
        <v>12000</v>
      </c>
      <c r="AG8" s="228">
        <f t="shared" si="4"/>
        <v>12000</v>
      </c>
      <c r="AH8" s="228">
        <f t="shared" si="4"/>
        <v>12000</v>
      </c>
      <c r="AI8" s="228">
        <f t="shared" si="4"/>
        <v>12000</v>
      </c>
      <c r="AJ8" s="228">
        <f t="shared" si="4"/>
        <v>12000</v>
      </c>
      <c r="AK8" s="228"/>
      <c r="AL8" s="228"/>
      <c r="AM8" s="290">
        <f t="shared" si="2"/>
        <v>120000</v>
      </c>
      <c r="AN8" s="238"/>
      <c r="AO8" s="13"/>
      <c r="AP8" s="13"/>
      <c r="AQ8" s="13"/>
      <c r="AR8" s="13"/>
    </row>
    <row r="9" spans="1:44" ht="19">
      <c r="A9" s="259"/>
      <c r="B9" s="230"/>
      <c r="C9" s="260" t="s">
        <v>236</v>
      </c>
      <c r="D9" s="232"/>
      <c r="E9" s="233"/>
      <c r="F9" s="234"/>
      <c r="G9" s="231"/>
      <c r="H9" s="231"/>
      <c r="I9" s="231"/>
      <c r="J9" s="234"/>
      <c r="K9" s="231"/>
      <c r="L9" s="231"/>
      <c r="M9" s="29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9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91"/>
      <c r="AN9" s="238"/>
      <c r="AO9" s="13"/>
      <c r="AP9" s="13"/>
      <c r="AQ9" s="13"/>
      <c r="AR9" s="13"/>
    </row>
    <row r="10" spans="1:44" ht="16">
      <c r="A10" s="236">
        <v>20</v>
      </c>
      <c r="B10" s="220" t="s">
        <v>237</v>
      </c>
      <c r="C10" s="220"/>
      <c r="D10" s="217"/>
      <c r="E10" s="218"/>
      <c r="F10" s="219"/>
      <c r="G10" s="220"/>
      <c r="H10" s="220"/>
      <c r="I10" s="220"/>
      <c r="J10" s="219"/>
      <c r="K10" s="237"/>
      <c r="L10" s="237"/>
      <c r="M10" s="292">
        <f t="shared" si="0"/>
        <v>0</v>
      </c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92">
        <f t="shared" si="1"/>
        <v>0</v>
      </c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92">
        <f t="shared" si="2"/>
        <v>0</v>
      </c>
      <c r="AN10" s="13"/>
      <c r="AO10" s="13"/>
      <c r="AP10" s="13"/>
      <c r="AQ10" s="13"/>
      <c r="AR10" s="13"/>
    </row>
    <row r="11" spans="1:44" ht="16">
      <c r="A11" s="214">
        <v>4500</v>
      </c>
      <c r="B11" s="239" t="s">
        <v>232</v>
      </c>
      <c r="C11" s="220" t="s">
        <v>78</v>
      </c>
      <c r="D11" s="217">
        <f>+A11*A10</f>
        <v>90000</v>
      </c>
      <c r="E11" s="218">
        <v>0</v>
      </c>
      <c r="F11" s="219">
        <v>0</v>
      </c>
      <c r="G11" s="220">
        <v>0</v>
      </c>
      <c r="H11" s="220">
        <v>0</v>
      </c>
      <c r="I11" s="220"/>
      <c r="J11" s="219"/>
      <c r="K11" s="237"/>
      <c r="L11" s="237"/>
      <c r="M11" s="292">
        <f t="shared" si="0"/>
        <v>90000</v>
      </c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92">
        <f t="shared" si="1"/>
        <v>0</v>
      </c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92">
        <f t="shared" si="2"/>
        <v>0</v>
      </c>
      <c r="AN11" s="13"/>
      <c r="AO11" s="13"/>
      <c r="AP11" s="13"/>
      <c r="AQ11" s="13"/>
      <c r="AR11" s="13"/>
    </row>
    <row r="12" spans="1:44" ht="16">
      <c r="A12" s="221">
        <v>10500</v>
      </c>
      <c r="B12" s="216"/>
      <c r="C12" s="220" t="s">
        <v>234</v>
      </c>
      <c r="D12" s="217">
        <v>0</v>
      </c>
      <c r="E12" s="218">
        <v>0</v>
      </c>
      <c r="F12" s="219">
        <v>0</v>
      </c>
      <c r="G12" s="220">
        <v>0</v>
      </c>
      <c r="H12" s="220">
        <v>0</v>
      </c>
      <c r="I12" s="220"/>
      <c r="J12" s="219"/>
      <c r="K12" s="237">
        <v>10</v>
      </c>
      <c r="L12" s="237">
        <v>10</v>
      </c>
      <c r="M12" s="292">
        <f t="shared" si="0"/>
        <v>20</v>
      </c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92">
        <f t="shared" si="1"/>
        <v>0</v>
      </c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92">
        <f t="shared" si="2"/>
        <v>0</v>
      </c>
      <c r="AN12" s="13"/>
      <c r="AO12" s="13"/>
      <c r="AP12" s="13"/>
      <c r="AQ12" s="13"/>
      <c r="AR12" s="13"/>
    </row>
    <row r="13" spans="1:44" ht="16">
      <c r="A13" s="261"/>
      <c r="B13" s="262"/>
      <c r="C13" s="224" t="s">
        <v>235</v>
      </c>
      <c r="D13" s="225">
        <v>0</v>
      </c>
      <c r="E13" s="226">
        <v>0</v>
      </c>
      <c r="F13" s="227">
        <v>0</v>
      </c>
      <c r="G13" s="263">
        <v>0</v>
      </c>
      <c r="H13" s="263">
        <v>0</v>
      </c>
      <c r="I13" s="263"/>
      <c r="J13" s="227"/>
      <c r="K13" s="228">
        <f>+K12*A12</f>
        <v>105000</v>
      </c>
      <c r="L13" s="228">
        <f>+L12*A12</f>
        <v>105000</v>
      </c>
      <c r="M13" s="290">
        <f>SUM(D13:L13)</f>
        <v>210000</v>
      </c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90">
        <f t="shared" si="1"/>
        <v>0</v>
      </c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90">
        <f t="shared" si="2"/>
        <v>0</v>
      </c>
      <c r="AN13" s="13"/>
      <c r="AO13" s="13"/>
      <c r="AP13" s="13"/>
      <c r="AQ13" s="13"/>
      <c r="AR13" s="13"/>
    </row>
    <row r="14" spans="1:44" ht="16">
      <c r="A14" s="264"/>
      <c r="B14" s="265"/>
      <c r="C14" s="231" t="s">
        <v>236</v>
      </c>
      <c r="D14" s="235">
        <f t="shared" ref="D14:J14" si="5">+D12*($A12-$A11)</f>
        <v>0</v>
      </c>
      <c r="E14" s="235">
        <f t="shared" si="5"/>
        <v>0</v>
      </c>
      <c r="F14" s="235">
        <f t="shared" si="5"/>
        <v>0</v>
      </c>
      <c r="G14" s="235">
        <f t="shared" si="5"/>
        <v>0</v>
      </c>
      <c r="H14" s="235">
        <f t="shared" si="5"/>
        <v>0</v>
      </c>
      <c r="I14" s="235">
        <f t="shared" si="5"/>
        <v>0</v>
      </c>
      <c r="J14" s="235">
        <f t="shared" si="5"/>
        <v>0</v>
      </c>
      <c r="K14" s="235">
        <f>+K12*($A12-$A11)</f>
        <v>60000</v>
      </c>
      <c r="L14" s="235">
        <f>+L12*($A12-$A11)</f>
        <v>60000</v>
      </c>
      <c r="M14" s="293">
        <f>SUM(D14:L14)</f>
        <v>120000</v>
      </c>
      <c r="N14" s="235">
        <f t="shared" ref="N14:AL14" si="6">+N12*($A12-$A11)</f>
        <v>0</v>
      </c>
      <c r="O14" s="235">
        <f t="shared" si="6"/>
        <v>0</v>
      </c>
      <c r="P14" s="235">
        <f t="shared" si="6"/>
        <v>0</v>
      </c>
      <c r="Q14" s="235">
        <f t="shared" si="6"/>
        <v>0</v>
      </c>
      <c r="R14" s="235">
        <f t="shared" si="6"/>
        <v>0</v>
      </c>
      <c r="S14" s="235">
        <f t="shared" si="6"/>
        <v>0</v>
      </c>
      <c r="T14" s="235">
        <f t="shared" si="6"/>
        <v>0</v>
      </c>
      <c r="U14" s="235">
        <f t="shared" si="6"/>
        <v>0</v>
      </c>
      <c r="V14" s="235">
        <f t="shared" si="6"/>
        <v>0</v>
      </c>
      <c r="W14" s="235">
        <f t="shared" si="6"/>
        <v>0</v>
      </c>
      <c r="X14" s="235">
        <f t="shared" si="6"/>
        <v>0</v>
      </c>
      <c r="Y14" s="235">
        <f t="shared" si="6"/>
        <v>0</v>
      </c>
      <c r="Z14" s="293">
        <f t="shared" si="1"/>
        <v>0</v>
      </c>
      <c r="AA14" s="235">
        <f t="shared" si="6"/>
        <v>0</v>
      </c>
      <c r="AB14" s="235">
        <f t="shared" si="6"/>
        <v>0</v>
      </c>
      <c r="AC14" s="235">
        <f t="shared" si="6"/>
        <v>0</v>
      </c>
      <c r="AD14" s="235">
        <f t="shared" si="6"/>
        <v>0</v>
      </c>
      <c r="AE14" s="235">
        <f t="shared" si="6"/>
        <v>0</v>
      </c>
      <c r="AF14" s="235">
        <f t="shared" si="6"/>
        <v>0</v>
      </c>
      <c r="AG14" s="235">
        <f t="shared" si="6"/>
        <v>0</v>
      </c>
      <c r="AH14" s="235">
        <f t="shared" si="6"/>
        <v>0</v>
      </c>
      <c r="AI14" s="235">
        <f t="shared" si="6"/>
        <v>0</v>
      </c>
      <c r="AJ14" s="235">
        <f t="shared" si="6"/>
        <v>0</v>
      </c>
      <c r="AK14" s="235">
        <f t="shared" si="6"/>
        <v>0</v>
      </c>
      <c r="AL14" s="235">
        <f t="shared" si="6"/>
        <v>0</v>
      </c>
      <c r="AM14" s="293">
        <f t="shared" si="2"/>
        <v>0</v>
      </c>
      <c r="AN14" s="13"/>
      <c r="AO14" s="13"/>
      <c r="AP14" s="13"/>
      <c r="AQ14" s="13"/>
      <c r="AR14" s="13"/>
    </row>
    <row r="15" spans="1:44" ht="16">
      <c r="A15" s="266">
        <v>20</v>
      </c>
      <c r="B15" s="216" t="s">
        <v>238</v>
      </c>
      <c r="C15" s="216"/>
      <c r="D15" s="217"/>
      <c r="E15" s="218"/>
      <c r="F15" s="219"/>
      <c r="G15" s="216"/>
      <c r="H15" s="216"/>
      <c r="I15" s="216"/>
      <c r="J15" s="219"/>
      <c r="K15" s="237"/>
      <c r="L15" s="237"/>
      <c r="M15" s="292">
        <f t="shared" si="0"/>
        <v>0</v>
      </c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92">
        <f t="shared" si="1"/>
        <v>0</v>
      </c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92">
        <f t="shared" si="2"/>
        <v>0</v>
      </c>
      <c r="AN15" s="13"/>
      <c r="AO15" s="13"/>
      <c r="AP15" s="13"/>
      <c r="AQ15" s="13"/>
      <c r="AR15" s="13"/>
    </row>
    <row r="16" spans="1:44" ht="19">
      <c r="A16" s="240">
        <v>4500</v>
      </c>
      <c r="B16" s="215" t="s">
        <v>239</v>
      </c>
      <c r="C16" s="216" t="s">
        <v>78</v>
      </c>
      <c r="D16" s="217">
        <v>0</v>
      </c>
      <c r="E16" s="218">
        <v>0</v>
      </c>
      <c r="F16" s="219">
        <f>A15*A16</f>
        <v>90000</v>
      </c>
      <c r="G16" s="216">
        <v>0</v>
      </c>
      <c r="H16" s="216">
        <v>0</v>
      </c>
      <c r="I16" s="216"/>
      <c r="J16" s="219"/>
      <c r="K16" s="237"/>
      <c r="L16" s="237"/>
      <c r="M16" s="292">
        <f t="shared" si="0"/>
        <v>90000</v>
      </c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92">
        <f t="shared" si="1"/>
        <v>0</v>
      </c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92">
        <f t="shared" si="2"/>
        <v>0</v>
      </c>
      <c r="AN16" s="238"/>
      <c r="AO16" s="13"/>
      <c r="AP16" s="13"/>
      <c r="AQ16" s="13"/>
      <c r="AR16" s="13"/>
    </row>
    <row r="17" spans="1:44" ht="19">
      <c r="A17" s="241">
        <v>10500</v>
      </c>
      <c r="B17" s="215"/>
      <c r="C17" s="220" t="s">
        <v>234</v>
      </c>
      <c r="D17" s="217">
        <v>0</v>
      </c>
      <c r="E17" s="218">
        <v>0</v>
      </c>
      <c r="F17" s="219">
        <v>0</v>
      </c>
      <c r="G17" s="216">
        <v>0</v>
      </c>
      <c r="H17" s="216">
        <v>0</v>
      </c>
      <c r="I17" s="216"/>
      <c r="J17" s="219"/>
      <c r="K17" s="237"/>
      <c r="L17" s="237">
        <v>10</v>
      </c>
      <c r="M17" s="292">
        <f t="shared" si="0"/>
        <v>10</v>
      </c>
      <c r="N17" s="237">
        <v>10</v>
      </c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92">
        <f t="shared" si="1"/>
        <v>10</v>
      </c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92">
        <f t="shared" si="2"/>
        <v>0</v>
      </c>
      <c r="AN17" s="238"/>
      <c r="AO17" s="13"/>
      <c r="AP17" s="13"/>
      <c r="AQ17" s="13"/>
      <c r="AR17" s="13"/>
    </row>
    <row r="18" spans="1:44" ht="19">
      <c r="A18" s="222"/>
      <c r="B18" s="223"/>
      <c r="C18" s="224" t="s">
        <v>235</v>
      </c>
      <c r="D18" s="225">
        <v>0</v>
      </c>
      <c r="E18" s="226">
        <v>0</v>
      </c>
      <c r="F18" s="227">
        <v>0</v>
      </c>
      <c r="G18" s="224">
        <v>0</v>
      </c>
      <c r="H18" s="224">
        <v>0</v>
      </c>
      <c r="I18" s="224"/>
      <c r="J18" s="227"/>
      <c r="K18" s="228"/>
      <c r="L18" s="228">
        <f>+A17*L17</f>
        <v>105000</v>
      </c>
      <c r="M18" s="290">
        <f t="shared" si="0"/>
        <v>105000</v>
      </c>
      <c r="N18" s="228">
        <f>+N17*A17</f>
        <v>105000</v>
      </c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90">
        <f t="shared" si="1"/>
        <v>105000</v>
      </c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90">
        <f t="shared" si="2"/>
        <v>0</v>
      </c>
      <c r="AN18" s="238"/>
      <c r="AO18" s="13"/>
      <c r="AP18" s="13"/>
      <c r="AQ18" s="13"/>
      <c r="AR18" s="13"/>
    </row>
    <row r="19" spans="1:44" ht="20" thickBot="1">
      <c r="A19" s="229"/>
      <c r="B19" s="230"/>
      <c r="C19" s="231" t="s">
        <v>236</v>
      </c>
      <c r="D19" s="235">
        <f t="shared" ref="D19:J19" si="7">+D17*($A17-$A16)</f>
        <v>0</v>
      </c>
      <c r="E19" s="235">
        <f t="shared" si="7"/>
        <v>0</v>
      </c>
      <c r="F19" s="235">
        <f t="shared" si="7"/>
        <v>0</v>
      </c>
      <c r="G19" s="235">
        <f t="shared" si="7"/>
        <v>0</v>
      </c>
      <c r="H19" s="235">
        <f t="shared" si="7"/>
        <v>0</v>
      </c>
      <c r="I19" s="235">
        <f t="shared" si="7"/>
        <v>0</v>
      </c>
      <c r="J19" s="235">
        <f t="shared" si="7"/>
        <v>0</v>
      </c>
      <c r="K19" s="235">
        <f>+K17*($A17-$A16)</f>
        <v>0</v>
      </c>
      <c r="L19" s="235">
        <f>+L17*($A17-$A16)</f>
        <v>60000</v>
      </c>
      <c r="M19" s="294">
        <f>SUM(D19:L19)</f>
        <v>60000</v>
      </c>
      <c r="N19" s="235">
        <f t="shared" ref="N19:AL19" si="8">+N17*($A17-$A16)</f>
        <v>60000</v>
      </c>
      <c r="O19" s="235">
        <f t="shared" si="8"/>
        <v>0</v>
      </c>
      <c r="P19" s="235">
        <f t="shared" si="8"/>
        <v>0</v>
      </c>
      <c r="Q19" s="235">
        <f t="shared" si="8"/>
        <v>0</v>
      </c>
      <c r="R19" s="235">
        <f t="shared" si="8"/>
        <v>0</v>
      </c>
      <c r="S19" s="235">
        <f t="shared" si="8"/>
        <v>0</v>
      </c>
      <c r="T19" s="235">
        <f t="shared" si="8"/>
        <v>0</v>
      </c>
      <c r="U19" s="235">
        <f t="shared" si="8"/>
        <v>0</v>
      </c>
      <c r="V19" s="235">
        <f t="shared" si="8"/>
        <v>0</v>
      </c>
      <c r="W19" s="235">
        <f t="shared" si="8"/>
        <v>0</v>
      </c>
      <c r="X19" s="235">
        <f t="shared" si="8"/>
        <v>0</v>
      </c>
      <c r="Y19" s="235">
        <f t="shared" si="8"/>
        <v>0</v>
      </c>
      <c r="Z19" s="294">
        <f t="shared" si="1"/>
        <v>60000</v>
      </c>
      <c r="AA19" s="235">
        <f t="shared" si="8"/>
        <v>0</v>
      </c>
      <c r="AB19" s="235">
        <f t="shared" si="8"/>
        <v>0</v>
      </c>
      <c r="AC19" s="235">
        <f t="shared" si="8"/>
        <v>0</v>
      </c>
      <c r="AD19" s="235">
        <f t="shared" si="8"/>
        <v>0</v>
      </c>
      <c r="AE19" s="235">
        <f t="shared" si="8"/>
        <v>0</v>
      </c>
      <c r="AF19" s="235">
        <f t="shared" si="8"/>
        <v>0</v>
      </c>
      <c r="AG19" s="235">
        <f t="shared" si="8"/>
        <v>0</v>
      </c>
      <c r="AH19" s="235">
        <f t="shared" si="8"/>
        <v>0</v>
      </c>
      <c r="AI19" s="235">
        <f t="shared" si="8"/>
        <v>0</v>
      </c>
      <c r="AJ19" s="235">
        <f t="shared" si="8"/>
        <v>0</v>
      </c>
      <c r="AK19" s="235">
        <f t="shared" si="8"/>
        <v>0</v>
      </c>
      <c r="AL19" s="235">
        <f t="shared" si="8"/>
        <v>0</v>
      </c>
      <c r="AM19" s="294">
        <f t="shared" si="2"/>
        <v>0</v>
      </c>
      <c r="AN19" s="238"/>
    </row>
    <row r="20" spans="1:44" ht="19">
      <c r="A20" s="242" t="s">
        <v>240</v>
      </c>
      <c r="B20" s="243"/>
      <c r="C20" s="244"/>
      <c r="D20" s="245">
        <f t="shared" ref="D20:L20" si="9">+D6+D11+D16</f>
        <v>110000</v>
      </c>
      <c r="E20" s="246">
        <f t="shared" si="9"/>
        <v>0</v>
      </c>
      <c r="F20" s="247">
        <f t="shared" si="9"/>
        <v>90000</v>
      </c>
      <c r="G20" s="248">
        <f t="shared" si="9"/>
        <v>0</v>
      </c>
      <c r="H20" s="248">
        <f t="shared" si="9"/>
        <v>0</v>
      </c>
      <c r="I20" s="248">
        <f t="shared" si="9"/>
        <v>0</v>
      </c>
      <c r="J20" s="248">
        <f t="shared" si="9"/>
        <v>0</v>
      </c>
      <c r="K20" s="249">
        <f t="shared" si="9"/>
        <v>0</v>
      </c>
      <c r="L20" s="249">
        <f t="shared" si="9"/>
        <v>0</v>
      </c>
      <c r="M20" s="295">
        <f t="shared" si="0"/>
        <v>200000</v>
      </c>
      <c r="N20" s="248">
        <f t="shared" ref="N20:Y20" si="10">+N6+N11+N16</f>
        <v>0</v>
      </c>
      <c r="O20" s="249">
        <f t="shared" si="10"/>
        <v>0</v>
      </c>
      <c r="P20" s="248">
        <f t="shared" si="10"/>
        <v>0</v>
      </c>
      <c r="Q20" s="249">
        <f t="shared" si="10"/>
        <v>0</v>
      </c>
      <c r="R20" s="248">
        <f t="shared" si="10"/>
        <v>0</v>
      </c>
      <c r="S20" s="249">
        <f t="shared" si="10"/>
        <v>0</v>
      </c>
      <c r="T20" s="248">
        <f t="shared" si="10"/>
        <v>0</v>
      </c>
      <c r="U20" s="249">
        <f t="shared" si="10"/>
        <v>0</v>
      </c>
      <c r="V20" s="248">
        <f t="shared" si="10"/>
        <v>0</v>
      </c>
      <c r="W20" s="249">
        <f t="shared" si="10"/>
        <v>0</v>
      </c>
      <c r="X20" s="248">
        <f t="shared" si="10"/>
        <v>0</v>
      </c>
      <c r="Y20" s="249">
        <f t="shared" si="10"/>
        <v>0</v>
      </c>
      <c r="Z20" s="295">
        <f t="shared" si="1"/>
        <v>0</v>
      </c>
      <c r="AA20" s="248">
        <f t="shared" ref="AA20:AL20" si="11">+AA6+AA11+AA16</f>
        <v>0</v>
      </c>
      <c r="AB20" s="249">
        <f t="shared" si="11"/>
        <v>0</v>
      </c>
      <c r="AC20" s="248">
        <f t="shared" si="11"/>
        <v>0</v>
      </c>
      <c r="AD20" s="249">
        <f t="shared" si="11"/>
        <v>0</v>
      </c>
      <c r="AE20" s="248">
        <f t="shared" si="11"/>
        <v>0</v>
      </c>
      <c r="AF20" s="249">
        <f t="shared" si="11"/>
        <v>0</v>
      </c>
      <c r="AG20" s="248">
        <f t="shared" si="11"/>
        <v>0</v>
      </c>
      <c r="AH20" s="249">
        <f t="shared" si="11"/>
        <v>0</v>
      </c>
      <c r="AI20" s="248">
        <f t="shared" si="11"/>
        <v>0</v>
      </c>
      <c r="AJ20" s="249">
        <f t="shared" si="11"/>
        <v>-20000</v>
      </c>
      <c r="AK20" s="248">
        <f t="shared" si="11"/>
        <v>0</v>
      </c>
      <c r="AL20" s="249">
        <f t="shared" si="11"/>
        <v>0</v>
      </c>
      <c r="AM20" s="295">
        <f t="shared" si="2"/>
        <v>-20000</v>
      </c>
      <c r="AN20" s="238"/>
    </row>
    <row r="21" spans="1:44" s="213" customFormat="1" ht="20" thickBot="1">
      <c r="A21" s="250" t="s">
        <v>241</v>
      </c>
      <c r="B21" s="251"/>
      <c r="C21" s="251"/>
      <c r="D21" s="252">
        <f t="shared" ref="D21:L21" si="12">+D18+D13+D8</f>
        <v>0</v>
      </c>
      <c r="E21" s="252">
        <f t="shared" si="12"/>
        <v>0</v>
      </c>
      <c r="F21" s="252">
        <f t="shared" si="12"/>
        <v>0</v>
      </c>
      <c r="G21" s="252">
        <f t="shared" si="12"/>
        <v>0</v>
      </c>
      <c r="H21" s="252">
        <f t="shared" si="12"/>
        <v>0</v>
      </c>
      <c r="I21" s="252">
        <f t="shared" si="12"/>
        <v>0</v>
      </c>
      <c r="J21" s="252">
        <f t="shared" si="12"/>
        <v>0</v>
      </c>
      <c r="K21" s="252">
        <f t="shared" si="12"/>
        <v>117000</v>
      </c>
      <c r="L21" s="252">
        <f t="shared" si="12"/>
        <v>222000</v>
      </c>
      <c r="M21" s="296">
        <f>SUM(D21:L21)</f>
        <v>339000</v>
      </c>
      <c r="N21" s="252">
        <f t="shared" ref="N21:Y21" si="13">+N18+N13+N8</f>
        <v>117000</v>
      </c>
      <c r="O21" s="252">
        <f t="shared" si="13"/>
        <v>12000</v>
      </c>
      <c r="P21" s="252">
        <f t="shared" si="13"/>
        <v>12000</v>
      </c>
      <c r="Q21" s="252">
        <f t="shared" si="13"/>
        <v>12000</v>
      </c>
      <c r="R21" s="252">
        <f t="shared" si="13"/>
        <v>12000</v>
      </c>
      <c r="S21" s="252">
        <f t="shared" si="13"/>
        <v>12000</v>
      </c>
      <c r="T21" s="252">
        <f t="shared" si="13"/>
        <v>12000</v>
      </c>
      <c r="U21" s="252">
        <f t="shared" si="13"/>
        <v>12000</v>
      </c>
      <c r="V21" s="252">
        <f t="shared" si="13"/>
        <v>12000</v>
      </c>
      <c r="W21" s="252">
        <f t="shared" si="13"/>
        <v>12000</v>
      </c>
      <c r="X21" s="252">
        <f t="shared" si="13"/>
        <v>12000</v>
      </c>
      <c r="Y21" s="252">
        <f t="shared" si="13"/>
        <v>12000</v>
      </c>
      <c r="Z21" s="296">
        <f t="shared" si="1"/>
        <v>249000</v>
      </c>
      <c r="AA21" s="252">
        <f t="shared" ref="AA21:AL21" si="14">+AA18+AA13+AA8</f>
        <v>12000</v>
      </c>
      <c r="AB21" s="252">
        <f t="shared" si="14"/>
        <v>12000</v>
      </c>
      <c r="AC21" s="252">
        <f t="shared" si="14"/>
        <v>12000</v>
      </c>
      <c r="AD21" s="252">
        <f t="shared" si="14"/>
        <v>12000</v>
      </c>
      <c r="AE21" s="252">
        <f t="shared" si="14"/>
        <v>12000</v>
      </c>
      <c r="AF21" s="252">
        <f t="shared" si="14"/>
        <v>12000</v>
      </c>
      <c r="AG21" s="252">
        <f t="shared" si="14"/>
        <v>12000</v>
      </c>
      <c r="AH21" s="252">
        <f t="shared" si="14"/>
        <v>12000</v>
      </c>
      <c r="AI21" s="252">
        <f t="shared" si="14"/>
        <v>12000</v>
      </c>
      <c r="AJ21" s="252">
        <f t="shared" si="14"/>
        <v>12000</v>
      </c>
      <c r="AK21" s="252">
        <f t="shared" si="14"/>
        <v>0</v>
      </c>
      <c r="AL21" s="252">
        <f t="shared" si="14"/>
        <v>0</v>
      </c>
      <c r="AM21" s="296">
        <f t="shared" si="2"/>
        <v>120000</v>
      </c>
      <c r="AN21" s="238"/>
    </row>
    <row r="22" spans="1:44" s="213" customFormat="1" ht="20" thickBot="1">
      <c r="A22" s="253" t="s">
        <v>242</v>
      </c>
      <c r="B22" s="254"/>
      <c r="C22" s="254"/>
      <c r="D22" s="252">
        <f t="shared" ref="D22:L22" si="15">+D19+D14+D9</f>
        <v>0</v>
      </c>
      <c r="E22" s="252">
        <f t="shared" si="15"/>
        <v>0</v>
      </c>
      <c r="F22" s="252">
        <f t="shared" si="15"/>
        <v>0</v>
      </c>
      <c r="G22" s="252">
        <f t="shared" si="15"/>
        <v>0</v>
      </c>
      <c r="H22" s="252">
        <f t="shared" si="15"/>
        <v>0</v>
      </c>
      <c r="I22" s="252">
        <f t="shared" si="15"/>
        <v>0</v>
      </c>
      <c r="J22" s="252">
        <f t="shared" si="15"/>
        <v>0</v>
      </c>
      <c r="K22" s="252">
        <f t="shared" si="15"/>
        <v>60000</v>
      </c>
      <c r="L22" s="252">
        <f t="shared" si="15"/>
        <v>120000</v>
      </c>
      <c r="M22" s="296">
        <f>SUM(D22:L22)</f>
        <v>180000</v>
      </c>
      <c r="N22" s="252">
        <f t="shared" ref="N22:Y22" si="16">+N19+N14+N9</f>
        <v>60000</v>
      </c>
      <c r="O22" s="252">
        <f t="shared" si="16"/>
        <v>0</v>
      </c>
      <c r="P22" s="252">
        <f t="shared" si="16"/>
        <v>0</v>
      </c>
      <c r="Q22" s="252">
        <f t="shared" si="16"/>
        <v>0</v>
      </c>
      <c r="R22" s="252">
        <f t="shared" si="16"/>
        <v>0</v>
      </c>
      <c r="S22" s="252">
        <f t="shared" si="16"/>
        <v>0</v>
      </c>
      <c r="T22" s="252">
        <f t="shared" si="16"/>
        <v>0</v>
      </c>
      <c r="U22" s="252">
        <f t="shared" si="16"/>
        <v>0</v>
      </c>
      <c r="V22" s="252">
        <f t="shared" si="16"/>
        <v>0</v>
      </c>
      <c r="W22" s="252">
        <f t="shared" si="16"/>
        <v>0</v>
      </c>
      <c r="X22" s="252">
        <f t="shared" si="16"/>
        <v>0</v>
      </c>
      <c r="Y22" s="252">
        <f t="shared" si="16"/>
        <v>0</v>
      </c>
      <c r="Z22" s="296">
        <f t="shared" si="1"/>
        <v>60000</v>
      </c>
      <c r="AA22" s="252">
        <f t="shared" ref="AA22:AL22" si="17">+AA19+AA14+AA9</f>
        <v>0</v>
      </c>
      <c r="AB22" s="252">
        <f t="shared" si="17"/>
        <v>0</v>
      </c>
      <c r="AC22" s="252">
        <f t="shared" si="17"/>
        <v>0</v>
      </c>
      <c r="AD22" s="252">
        <f t="shared" si="17"/>
        <v>0</v>
      </c>
      <c r="AE22" s="252">
        <f t="shared" si="17"/>
        <v>0</v>
      </c>
      <c r="AF22" s="252">
        <f t="shared" si="17"/>
        <v>0</v>
      </c>
      <c r="AG22" s="252">
        <f t="shared" si="17"/>
        <v>0</v>
      </c>
      <c r="AH22" s="252">
        <f t="shared" si="17"/>
        <v>0</v>
      </c>
      <c r="AI22" s="252">
        <f t="shared" si="17"/>
        <v>0</v>
      </c>
      <c r="AJ22" s="252">
        <f t="shared" si="17"/>
        <v>0</v>
      </c>
      <c r="AK22" s="252">
        <f t="shared" si="17"/>
        <v>0</v>
      </c>
      <c r="AL22" s="252">
        <f t="shared" si="17"/>
        <v>0</v>
      </c>
      <c r="AM22" s="296">
        <f t="shared" si="2"/>
        <v>0</v>
      </c>
      <c r="AN22" s="238"/>
    </row>
    <row r="23" spans="1:44" s="255" customFormat="1" ht="20.25" customHeight="1" thickBot="1"/>
    <row r="24" spans="1:44" s="208" customFormat="1" ht="22" thickBot="1">
      <c r="A24" s="253" t="s">
        <v>229</v>
      </c>
      <c r="B24" s="254" t="s">
        <v>254</v>
      </c>
      <c r="C24" s="256"/>
      <c r="D24" s="257"/>
      <c r="E24" s="258"/>
      <c r="F24" s="258"/>
      <c r="G24" s="256"/>
      <c r="H24" s="256"/>
      <c r="I24" s="256"/>
      <c r="J24" s="256"/>
      <c r="K24" s="256"/>
      <c r="L24" s="256"/>
      <c r="M24" s="285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85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85">
        <f t="shared" si="2"/>
        <v>0</v>
      </c>
    </row>
    <row r="25" spans="1:44" ht="16">
      <c r="A25" s="209">
        <v>70</v>
      </c>
      <c r="B25" s="210" t="s">
        <v>230</v>
      </c>
      <c r="C25" s="210" t="s">
        <v>243</v>
      </c>
      <c r="D25" s="211"/>
      <c r="E25" s="212"/>
      <c r="F25" s="212"/>
      <c r="G25" s="210"/>
      <c r="H25" s="210"/>
      <c r="I25" s="210"/>
      <c r="J25" s="210"/>
      <c r="K25" s="210"/>
      <c r="L25" s="210"/>
      <c r="M25" s="288">
        <f t="shared" si="0"/>
        <v>0</v>
      </c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88">
        <f t="shared" si="1"/>
        <v>0</v>
      </c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88">
        <f t="shared" si="2"/>
        <v>0</v>
      </c>
    </row>
    <row r="26" spans="1:44" ht="19">
      <c r="A26" s="214">
        <v>1000</v>
      </c>
      <c r="B26" s="215" t="s">
        <v>244</v>
      </c>
      <c r="C26" s="216" t="s">
        <v>78</v>
      </c>
      <c r="D26" s="217"/>
      <c r="E26" s="218"/>
      <c r="F26" s="219"/>
      <c r="G26" s="216"/>
      <c r="H26" s="216"/>
      <c r="I26" s="216"/>
      <c r="J26" s="219">
        <f>+A26*A25</f>
        <v>70000</v>
      </c>
      <c r="K26" s="216"/>
      <c r="L26" s="216"/>
      <c r="M26" s="289">
        <f>SUM(D26:L26)</f>
        <v>70000</v>
      </c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89">
        <f t="shared" si="1"/>
        <v>0</v>
      </c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89">
        <f t="shared" si="2"/>
        <v>0</v>
      </c>
      <c r="AN26" s="238"/>
      <c r="AO26" s="13"/>
      <c r="AP26" s="13"/>
      <c r="AQ26" s="13"/>
      <c r="AR26" s="13"/>
    </row>
    <row r="27" spans="1:44" ht="19">
      <c r="A27" s="221">
        <v>600</v>
      </c>
      <c r="B27" s="215" t="s">
        <v>233</v>
      </c>
      <c r="C27" s="220" t="s">
        <v>245</v>
      </c>
      <c r="D27" s="217"/>
      <c r="E27" s="218"/>
      <c r="F27" s="219"/>
      <c r="G27" s="216"/>
      <c r="H27" s="216"/>
      <c r="I27" s="216"/>
      <c r="J27" s="219"/>
      <c r="K27" s="216"/>
      <c r="L27" s="216"/>
      <c r="M27" s="289">
        <f t="shared" si="0"/>
        <v>0</v>
      </c>
      <c r="N27" s="216"/>
      <c r="O27" s="216"/>
      <c r="P27" s="216"/>
      <c r="Q27" s="216"/>
      <c r="R27" s="216"/>
      <c r="S27" s="216">
        <v>70</v>
      </c>
      <c r="T27" s="216"/>
      <c r="U27" s="216"/>
      <c r="V27" s="216"/>
      <c r="W27" s="216"/>
      <c r="X27" s="216"/>
      <c r="Y27" s="216"/>
      <c r="Z27" s="289">
        <f t="shared" si="1"/>
        <v>70</v>
      </c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89">
        <f t="shared" si="2"/>
        <v>0</v>
      </c>
      <c r="AN27" s="238"/>
      <c r="AO27" s="13"/>
      <c r="AP27" s="13"/>
      <c r="AQ27" s="13"/>
      <c r="AR27" s="13"/>
    </row>
    <row r="28" spans="1:44" ht="19">
      <c r="A28" s="222"/>
      <c r="B28" s="223"/>
      <c r="C28" s="224" t="s">
        <v>235</v>
      </c>
      <c r="D28" s="225"/>
      <c r="E28" s="226"/>
      <c r="F28" s="227"/>
      <c r="G28" s="224"/>
      <c r="H28" s="224"/>
      <c r="I28" s="224"/>
      <c r="J28" s="227"/>
      <c r="K28" s="228"/>
      <c r="L28" s="228"/>
      <c r="M28" s="290">
        <f t="shared" si="0"/>
        <v>0</v>
      </c>
      <c r="N28" s="228"/>
      <c r="O28" s="228"/>
      <c r="P28" s="228"/>
      <c r="Q28" s="228"/>
      <c r="R28" s="228"/>
      <c r="S28" s="228">
        <f>+$A$27*$A$25</f>
        <v>42000</v>
      </c>
      <c r="T28" s="228">
        <f t="shared" ref="T28:Y28" si="18">+$A$27*$A$25</f>
        <v>42000</v>
      </c>
      <c r="U28" s="228">
        <f t="shared" si="18"/>
        <v>42000</v>
      </c>
      <c r="V28" s="228">
        <f t="shared" si="18"/>
        <v>42000</v>
      </c>
      <c r="W28" s="228">
        <f t="shared" si="18"/>
        <v>42000</v>
      </c>
      <c r="X28" s="228">
        <f t="shared" si="18"/>
        <v>42000</v>
      </c>
      <c r="Y28" s="228">
        <f t="shared" si="18"/>
        <v>42000</v>
      </c>
      <c r="Z28" s="290">
        <f t="shared" si="1"/>
        <v>294000</v>
      </c>
      <c r="AA28" s="228">
        <f t="shared" ref="AA28:AL28" si="19">+$A$27*$A$25</f>
        <v>42000</v>
      </c>
      <c r="AB28" s="228">
        <f t="shared" si="19"/>
        <v>42000</v>
      </c>
      <c r="AC28" s="228">
        <f t="shared" si="19"/>
        <v>42000</v>
      </c>
      <c r="AD28" s="228">
        <f t="shared" si="19"/>
        <v>42000</v>
      </c>
      <c r="AE28" s="228">
        <f t="shared" si="19"/>
        <v>42000</v>
      </c>
      <c r="AF28" s="228">
        <f t="shared" si="19"/>
        <v>42000</v>
      </c>
      <c r="AG28" s="228">
        <f t="shared" si="19"/>
        <v>42000</v>
      </c>
      <c r="AH28" s="228">
        <f t="shared" si="19"/>
        <v>42000</v>
      </c>
      <c r="AI28" s="228">
        <f t="shared" si="19"/>
        <v>42000</v>
      </c>
      <c r="AJ28" s="228">
        <f t="shared" si="19"/>
        <v>42000</v>
      </c>
      <c r="AK28" s="228">
        <f t="shared" si="19"/>
        <v>42000</v>
      </c>
      <c r="AL28" s="228">
        <f t="shared" si="19"/>
        <v>42000</v>
      </c>
      <c r="AM28" s="290">
        <f t="shared" si="2"/>
        <v>504000</v>
      </c>
      <c r="AN28" s="238"/>
      <c r="AO28" s="13"/>
      <c r="AP28" s="13"/>
      <c r="AQ28" s="13"/>
      <c r="AR28" s="13"/>
    </row>
    <row r="29" spans="1:44" ht="19">
      <c r="A29" s="259"/>
      <c r="B29" s="230"/>
      <c r="C29" s="260" t="s">
        <v>236</v>
      </c>
      <c r="D29" s="232">
        <f t="shared" ref="D29:J29" si="20">+D27*($A27-$A26)</f>
        <v>0</v>
      </c>
      <c r="E29" s="233">
        <f t="shared" si="20"/>
        <v>0</v>
      </c>
      <c r="F29" s="234">
        <f t="shared" si="20"/>
        <v>0</v>
      </c>
      <c r="G29" s="231">
        <f t="shared" si="20"/>
        <v>0</v>
      </c>
      <c r="H29" s="231">
        <f t="shared" si="20"/>
        <v>0</v>
      </c>
      <c r="I29" s="231">
        <f t="shared" si="20"/>
        <v>0</v>
      </c>
      <c r="J29" s="234">
        <f t="shared" si="20"/>
        <v>0</v>
      </c>
      <c r="K29" s="231">
        <f>+K27*($A27-$A26)</f>
        <v>0</v>
      </c>
      <c r="L29" s="231">
        <f>+L27*($A27-$A26)</f>
        <v>0</v>
      </c>
      <c r="M29" s="291">
        <f>SUM(D29:L29)</f>
        <v>0</v>
      </c>
      <c r="N29" s="231">
        <f t="shared" ref="N29:AL29" si="21">+N27*($A27-$A26)</f>
        <v>0</v>
      </c>
      <c r="O29" s="231">
        <f t="shared" si="21"/>
        <v>0</v>
      </c>
      <c r="P29" s="231">
        <f t="shared" si="21"/>
        <v>0</v>
      </c>
      <c r="Q29" s="231">
        <f t="shared" si="21"/>
        <v>0</v>
      </c>
      <c r="R29" s="231">
        <f t="shared" si="21"/>
        <v>0</v>
      </c>
      <c r="S29" s="231">
        <f t="shared" si="21"/>
        <v>-28000</v>
      </c>
      <c r="T29" s="231">
        <f t="shared" si="21"/>
        <v>0</v>
      </c>
      <c r="U29" s="231">
        <f t="shared" si="21"/>
        <v>0</v>
      </c>
      <c r="V29" s="231">
        <f t="shared" si="21"/>
        <v>0</v>
      </c>
      <c r="W29" s="231">
        <f t="shared" si="21"/>
        <v>0</v>
      </c>
      <c r="X29" s="231">
        <f t="shared" si="21"/>
        <v>0</v>
      </c>
      <c r="Y29" s="231">
        <f t="shared" si="21"/>
        <v>0</v>
      </c>
      <c r="Z29" s="291">
        <f t="shared" si="1"/>
        <v>-28000</v>
      </c>
      <c r="AA29" s="231">
        <f t="shared" si="21"/>
        <v>0</v>
      </c>
      <c r="AB29" s="231">
        <f t="shared" si="21"/>
        <v>0</v>
      </c>
      <c r="AC29" s="231">
        <f t="shared" si="21"/>
        <v>0</v>
      </c>
      <c r="AD29" s="231">
        <f t="shared" si="21"/>
        <v>0</v>
      </c>
      <c r="AE29" s="231">
        <f t="shared" si="21"/>
        <v>0</v>
      </c>
      <c r="AF29" s="231">
        <f t="shared" si="21"/>
        <v>0</v>
      </c>
      <c r="AG29" s="231">
        <f t="shared" si="21"/>
        <v>0</v>
      </c>
      <c r="AH29" s="231">
        <f t="shared" si="21"/>
        <v>0</v>
      </c>
      <c r="AI29" s="231">
        <f t="shared" si="21"/>
        <v>0</v>
      </c>
      <c r="AJ29" s="231">
        <f t="shared" si="21"/>
        <v>0</v>
      </c>
      <c r="AK29" s="231">
        <f t="shared" si="21"/>
        <v>0</v>
      </c>
      <c r="AL29" s="231">
        <f t="shared" si="21"/>
        <v>0</v>
      </c>
      <c r="AM29" s="291">
        <f t="shared" si="2"/>
        <v>0</v>
      </c>
      <c r="AN29" s="238"/>
      <c r="AO29" s="13"/>
      <c r="AP29" s="13"/>
      <c r="AQ29" s="13"/>
      <c r="AR29" s="13"/>
    </row>
    <row r="30" spans="1:44" ht="16">
      <c r="A30" s="236">
        <v>80</v>
      </c>
      <c r="B30" s="220" t="s">
        <v>237</v>
      </c>
      <c r="C30" s="220"/>
      <c r="D30" s="217"/>
      <c r="E30" s="218"/>
      <c r="F30" s="219"/>
      <c r="G30" s="220"/>
      <c r="H30" s="220"/>
      <c r="I30" s="220"/>
      <c r="J30" s="219"/>
      <c r="K30" s="237"/>
      <c r="L30" s="237"/>
      <c r="M30" s="292">
        <f t="shared" si="0"/>
        <v>0</v>
      </c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92">
        <f t="shared" si="1"/>
        <v>0</v>
      </c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92">
        <f t="shared" si="2"/>
        <v>0</v>
      </c>
      <c r="AN30" s="13"/>
      <c r="AO30" s="13"/>
      <c r="AP30" s="13"/>
      <c r="AQ30" s="13"/>
      <c r="AR30" s="13"/>
    </row>
    <row r="31" spans="1:44" ht="16">
      <c r="A31" s="214">
        <v>4500</v>
      </c>
      <c r="B31" s="239" t="s">
        <v>244</v>
      </c>
      <c r="C31" s="220" t="s">
        <v>78</v>
      </c>
      <c r="D31" s="217"/>
      <c r="E31" s="218"/>
      <c r="F31" s="219"/>
      <c r="G31" s="220"/>
      <c r="H31" s="220"/>
      <c r="I31" s="220"/>
      <c r="J31" s="219">
        <f>+A31*A30</f>
        <v>360000</v>
      </c>
      <c r="K31" s="237"/>
      <c r="L31" s="237"/>
      <c r="M31" s="292">
        <f t="shared" si="0"/>
        <v>360000</v>
      </c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92">
        <f t="shared" si="1"/>
        <v>0</v>
      </c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92">
        <f t="shared" si="2"/>
        <v>0</v>
      </c>
      <c r="AN31" s="13"/>
      <c r="AO31" s="13"/>
      <c r="AP31" s="13"/>
      <c r="AQ31" s="13"/>
      <c r="AR31" s="13"/>
    </row>
    <row r="32" spans="1:44" ht="16">
      <c r="A32" s="221">
        <v>10500</v>
      </c>
      <c r="B32" s="216"/>
      <c r="C32" s="220" t="s">
        <v>245</v>
      </c>
      <c r="D32" s="217"/>
      <c r="E32" s="218"/>
      <c r="F32" s="219"/>
      <c r="G32" s="220"/>
      <c r="H32" s="220"/>
      <c r="I32" s="220"/>
      <c r="J32" s="219"/>
      <c r="K32" s="237"/>
      <c r="L32" s="237"/>
      <c r="M32" s="292">
        <f t="shared" si="0"/>
        <v>0</v>
      </c>
      <c r="N32" s="237"/>
      <c r="O32" s="237"/>
      <c r="P32" s="237"/>
      <c r="Q32" s="237"/>
      <c r="R32" s="237">
        <v>20</v>
      </c>
      <c r="S32" s="237">
        <v>20</v>
      </c>
      <c r="T32" s="237">
        <v>20</v>
      </c>
      <c r="U32" s="237">
        <v>20</v>
      </c>
      <c r="V32" s="237"/>
      <c r="W32" s="237"/>
      <c r="X32" s="237"/>
      <c r="Y32" s="237"/>
      <c r="Z32" s="292">
        <f t="shared" si="1"/>
        <v>80</v>
      </c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92">
        <f t="shared" si="2"/>
        <v>0</v>
      </c>
      <c r="AN32" s="13"/>
      <c r="AO32" s="13"/>
      <c r="AP32" s="13"/>
      <c r="AQ32" s="13"/>
      <c r="AR32" s="13"/>
    </row>
    <row r="33" spans="1:44" ht="16">
      <c r="A33" s="261"/>
      <c r="B33" s="262"/>
      <c r="C33" s="224" t="s">
        <v>235</v>
      </c>
      <c r="D33" s="225"/>
      <c r="E33" s="226"/>
      <c r="F33" s="227"/>
      <c r="G33" s="263"/>
      <c r="H33" s="263"/>
      <c r="I33" s="263"/>
      <c r="J33" s="227"/>
      <c r="K33" s="228"/>
      <c r="L33" s="228"/>
      <c r="M33" s="290">
        <f t="shared" si="0"/>
        <v>0</v>
      </c>
      <c r="N33" s="228"/>
      <c r="O33" s="228"/>
      <c r="P33" s="228"/>
      <c r="Q33" s="228"/>
      <c r="R33" s="228">
        <f>+R32*A32</f>
        <v>210000</v>
      </c>
      <c r="S33" s="228">
        <f>+S32*$A$32</f>
        <v>210000</v>
      </c>
      <c r="T33" s="228">
        <f>+T32*$A$32</f>
        <v>210000</v>
      </c>
      <c r="U33" s="228">
        <f>+U32*$A$32</f>
        <v>210000</v>
      </c>
      <c r="V33" s="228"/>
      <c r="W33" s="228"/>
      <c r="X33" s="228"/>
      <c r="Y33" s="228"/>
      <c r="Z33" s="290">
        <f t="shared" si="1"/>
        <v>840000</v>
      </c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90">
        <f t="shared" si="2"/>
        <v>0</v>
      </c>
      <c r="AN33" s="13"/>
      <c r="AO33" s="13"/>
      <c r="AP33" s="13"/>
      <c r="AQ33" s="13"/>
      <c r="AR33" s="13"/>
    </row>
    <row r="34" spans="1:44" ht="16">
      <c r="A34" s="264"/>
      <c r="B34" s="265"/>
      <c r="C34" s="231" t="s">
        <v>236</v>
      </c>
      <c r="D34" s="235">
        <f t="shared" ref="D34:J34" si="22">+D32*($A32-$A31)</f>
        <v>0</v>
      </c>
      <c r="E34" s="235">
        <f t="shared" si="22"/>
        <v>0</v>
      </c>
      <c r="F34" s="235">
        <f t="shared" si="22"/>
        <v>0</v>
      </c>
      <c r="G34" s="235">
        <f t="shared" si="22"/>
        <v>0</v>
      </c>
      <c r="H34" s="235">
        <f t="shared" si="22"/>
        <v>0</v>
      </c>
      <c r="I34" s="235">
        <f t="shared" si="22"/>
        <v>0</v>
      </c>
      <c r="J34" s="235">
        <f t="shared" si="22"/>
        <v>0</v>
      </c>
      <c r="K34" s="235">
        <f>+K32*($A32-$A31)</f>
        <v>0</v>
      </c>
      <c r="L34" s="235">
        <f>+L32*($A32-$A31)</f>
        <v>0</v>
      </c>
      <c r="M34" s="293">
        <f>SUM(D34:L34)</f>
        <v>0</v>
      </c>
      <c r="N34" s="235">
        <f t="shared" ref="N34:AL34" si="23">+N32*($A32-$A31)</f>
        <v>0</v>
      </c>
      <c r="O34" s="235">
        <f t="shared" si="23"/>
        <v>0</v>
      </c>
      <c r="P34" s="235">
        <f t="shared" si="23"/>
        <v>0</v>
      </c>
      <c r="Q34" s="235">
        <f t="shared" si="23"/>
        <v>0</v>
      </c>
      <c r="R34" s="235">
        <f t="shared" si="23"/>
        <v>120000</v>
      </c>
      <c r="S34" s="235">
        <f t="shared" si="23"/>
        <v>120000</v>
      </c>
      <c r="T34" s="235">
        <f t="shared" si="23"/>
        <v>120000</v>
      </c>
      <c r="U34" s="235">
        <f t="shared" si="23"/>
        <v>120000</v>
      </c>
      <c r="V34" s="235">
        <f t="shared" si="23"/>
        <v>0</v>
      </c>
      <c r="W34" s="235">
        <f t="shared" si="23"/>
        <v>0</v>
      </c>
      <c r="X34" s="235">
        <f t="shared" si="23"/>
        <v>0</v>
      </c>
      <c r="Y34" s="235">
        <f t="shared" si="23"/>
        <v>0</v>
      </c>
      <c r="Z34" s="293">
        <f t="shared" si="1"/>
        <v>480000</v>
      </c>
      <c r="AA34" s="235">
        <f t="shared" si="23"/>
        <v>0</v>
      </c>
      <c r="AB34" s="235">
        <f t="shared" si="23"/>
        <v>0</v>
      </c>
      <c r="AC34" s="235">
        <f t="shared" si="23"/>
        <v>0</v>
      </c>
      <c r="AD34" s="235">
        <f t="shared" si="23"/>
        <v>0</v>
      </c>
      <c r="AE34" s="235">
        <f t="shared" si="23"/>
        <v>0</v>
      </c>
      <c r="AF34" s="235">
        <f t="shared" si="23"/>
        <v>0</v>
      </c>
      <c r="AG34" s="235">
        <f t="shared" si="23"/>
        <v>0</v>
      </c>
      <c r="AH34" s="235">
        <f t="shared" si="23"/>
        <v>0</v>
      </c>
      <c r="AI34" s="235">
        <f t="shared" si="23"/>
        <v>0</v>
      </c>
      <c r="AJ34" s="235">
        <f t="shared" si="23"/>
        <v>0</v>
      </c>
      <c r="AK34" s="235">
        <f t="shared" si="23"/>
        <v>0</v>
      </c>
      <c r="AL34" s="235">
        <f t="shared" si="23"/>
        <v>0</v>
      </c>
      <c r="AM34" s="293">
        <f t="shared" si="2"/>
        <v>0</v>
      </c>
      <c r="AN34" s="13"/>
      <c r="AO34" s="13"/>
      <c r="AP34" s="13"/>
      <c r="AQ34" s="13"/>
      <c r="AR34" s="13"/>
    </row>
    <row r="35" spans="1:44" ht="16">
      <c r="A35" s="266">
        <v>100</v>
      </c>
      <c r="B35" s="216" t="s">
        <v>238</v>
      </c>
      <c r="C35" s="216"/>
      <c r="D35" s="217"/>
      <c r="E35" s="218"/>
      <c r="F35" s="219"/>
      <c r="G35" s="216"/>
      <c r="H35" s="216"/>
      <c r="I35" s="216"/>
      <c r="J35" s="219"/>
      <c r="K35" s="237"/>
      <c r="L35" s="237"/>
      <c r="M35" s="292">
        <f t="shared" si="0"/>
        <v>0</v>
      </c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92">
        <f t="shared" si="1"/>
        <v>0</v>
      </c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92">
        <f t="shared" si="2"/>
        <v>0</v>
      </c>
      <c r="AN35" s="13"/>
      <c r="AO35" s="13"/>
      <c r="AP35" s="13"/>
      <c r="AQ35" s="13"/>
      <c r="AR35" s="13"/>
    </row>
    <row r="36" spans="1:44" ht="19">
      <c r="A36" s="240">
        <v>4500</v>
      </c>
      <c r="B36" s="215" t="s">
        <v>246</v>
      </c>
      <c r="C36" s="216" t="s">
        <v>78</v>
      </c>
      <c r="D36" s="217"/>
      <c r="E36" s="218"/>
      <c r="F36" s="219"/>
      <c r="G36" s="216"/>
      <c r="H36" s="216"/>
      <c r="I36" s="216"/>
      <c r="J36" s="219">
        <f>+A36*A35</f>
        <v>450000</v>
      </c>
      <c r="K36" s="237"/>
      <c r="L36" s="237"/>
      <c r="M36" s="292">
        <f t="shared" si="0"/>
        <v>450000</v>
      </c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92">
        <f t="shared" si="1"/>
        <v>0</v>
      </c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92">
        <f t="shared" si="2"/>
        <v>0</v>
      </c>
      <c r="AN36" s="238"/>
      <c r="AO36" s="13"/>
      <c r="AP36" s="13"/>
      <c r="AQ36" s="13"/>
      <c r="AR36" s="13"/>
    </row>
    <row r="37" spans="1:44" ht="19">
      <c r="A37" s="241">
        <v>10500</v>
      </c>
      <c r="B37" s="215"/>
      <c r="C37" s="220" t="s">
        <v>245</v>
      </c>
      <c r="D37" s="217"/>
      <c r="E37" s="218"/>
      <c r="F37" s="219"/>
      <c r="G37" s="216"/>
      <c r="H37" s="216"/>
      <c r="I37" s="216"/>
      <c r="J37" s="219"/>
      <c r="K37" s="237"/>
      <c r="L37" s="237"/>
      <c r="M37" s="292">
        <f t="shared" si="0"/>
        <v>0</v>
      </c>
      <c r="N37" s="237"/>
      <c r="O37" s="237"/>
      <c r="P37" s="237"/>
      <c r="Q37" s="237"/>
      <c r="R37" s="237"/>
      <c r="S37" s="237"/>
      <c r="T37" s="237"/>
      <c r="U37" s="237"/>
      <c r="V37" s="237">
        <v>25</v>
      </c>
      <c r="W37" s="237">
        <v>25</v>
      </c>
      <c r="X37" s="237">
        <v>20</v>
      </c>
      <c r="Y37" s="237">
        <v>20</v>
      </c>
      <c r="Z37" s="292">
        <f t="shared" si="1"/>
        <v>90</v>
      </c>
      <c r="AA37" s="237">
        <v>10</v>
      </c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92">
        <f t="shared" si="2"/>
        <v>10</v>
      </c>
      <c r="AN37" s="238"/>
      <c r="AO37" s="13"/>
      <c r="AP37" s="13"/>
      <c r="AQ37" s="13"/>
      <c r="AR37" s="13"/>
    </row>
    <row r="38" spans="1:44" ht="19">
      <c r="A38" s="222"/>
      <c r="B38" s="223"/>
      <c r="C38" s="224" t="s">
        <v>235</v>
      </c>
      <c r="D38" s="225"/>
      <c r="E38" s="226"/>
      <c r="F38" s="227"/>
      <c r="G38" s="224"/>
      <c r="H38" s="224"/>
      <c r="I38" s="224"/>
      <c r="J38" s="227"/>
      <c r="K38" s="228"/>
      <c r="L38" s="228"/>
      <c r="M38" s="290">
        <f t="shared" si="0"/>
        <v>0</v>
      </c>
      <c r="N38" s="228"/>
      <c r="O38" s="228"/>
      <c r="P38" s="228"/>
      <c r="Q38" s="228"/>
      <c r="R38" s="228"/>
      <c r="S38" s="228"/>
      <c r="T38" s="228"/>
      <c r="U38" s="228">
        <f>+U37*$A$37</f>
        <v>0</v>
      </c>
      <c r="V38" s="228">
        <f>+V37*$A$37</f>
        <v>262500</v>
      </c>
      <c r="W38" s="228">
        <f>+W37*$A$37</f>
        <v>262500</v>
      </c>
      <c r="X38" s="228">
        <f>+X37*$A$37</f>
        <v>210000</v>
      </c>
      <c r="Y38" s="228">
        <f>+Y37*$A$37</f>
        <v>210000</v>
      </c>
      <c r="Z38" s="290">
        <f t="shared" si="1"/>
        <v>945000</v>
      </c>
      <c r="AA38" s="228">
        <f>+AA37*$A$37</f>
        <v>105000</v>
      </c>
      <c r="AB38" s="228">
        <f>+AB37*$A$37</f>
        <v>0</v>
      </c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90">
        <f t="shared" si="2"/>
        <v>105000</v>
      </c>
      <c r="AN38" s="238"/>
      <c r="AO38" s="13"/>
      <c r="AP38" s="13"/>
      <c r="AQ38" s="13"/>
      <c r="AR38" s="13"/>
    </row>
    <row r="39" spans="1:44" ht="19">
      <c r="A39" s="229"/>
      <c r="B39" s="230"/>
      <c r="C39" s="231" t="s">
        <v>236</v>
      </c>
      <c r="D39" s="235">
        <f t="shared" ref="D39:J39" si="24">+D37*($A37-$A36)</f>
        <v>0</v>
      </c>
      <c r="E39" s="235">
        <f t="shared" si="24"/>
        <v>0</v>
      </c>
      <c r="F39" s="235">
        <f t="shared" si="24"/>
        <v>0</v>
      </c>
      <c r="G39" s="235">
        <f t="shared" si="24"/>
        <v>0</v>
      </c>
      <c r="H39" s="235">
        <f t="shared" si="24"/>
        <v>0</v>
      </c>
      <c r="I39" s="235">
        <f t="shared" si="24"/>
        <v>0</v>
      </c>
      <c r="J39" s="235">
        <f t="shared" si="24"/>
        <v>0</v>
      </c>
      <c r="K39" s="235">
        <f>+K37*($A37-$A36)</f>
        <v>0</v>
      </c>
      <c r="L39" s="235">
        <f>+L37*($A37-$A36)</f>
        <v>0</v>
      </c>
      <c r="M39" s="293">
        <f>SUM(D39:L39)</f>
        <v>0</v>
      </c>
      <c r="N39" s="235">
        <f t="shared" ref="N39:AL39" si="25">+N37*($A37-$A36)</f>
        <v>0</v>
      </c>
      <c r="O39" s="235">
        <f t="shared" si="25"/>
        <v>0</v>
      </c>
      <c r="P39" s="235">
        <f t="shared" si="25"/>
        <v>0</v>
      </c>
      <c r="Q39" s="235">
        <f t="shared" si="25"/>
        <v>0</v>
      </c>
      <c r="R39" s="235">
        <f t="shared" si="25"/>
        <v>0</v>
      </c>
      <c r="S39" s="235">
        <f t="shared" si="25"/>
        <v>0</v>
      </c>
      <c r="T39" s="235">
        <f t="shared" si="25"/>
        <v>0</v>
      </c>
      <c r="U39" s="235">
        <f t="shared" si="25"/>
        <v>0</v>
      </c>
      <c r="V39" s="235">
        <f t="shared" si="25"/>
        <v>150000</v>
      </c>
      <c r="W39" s="235">
        <f t="shared" si="25"/>
        <v>150000</v>
      </c>
      <c r="X39" s="235">
        <f t="shared" si="25"/>
        <v>120000</v>
      </c>
      <c r="Y39" s="235">
        <f t="shared" si="25"/>
        <v>120000</v>
      </c>
      <c r="Z39" s="293">
        <f t="shared" si="1"/>
        <v>540000</v>
      </c>
      <c r="AA39" s="235">
        <f t="shared" si="25"/>
        <v>60000</v>
      </c>
      <c r="AB39" s="235">
        <f t="shared" si="25"/>
        <v>0</v>
      </c>
      <c r="AC39" s="235">
        <f t="shared" si="25"/>
        <v>0</v>
      </c>
      <c r="AD39" s="235">
        <f t="shared" si="25"/>
        <v>0</v>
      </c>
      <c r="AE39" s="235">
        <f t="shared" si="25"/>
        <v>0</v>
      </c>
      <c r="AF39" s="235">
        <f t="shared" si="25"/>
        <v>0</v>
      </c>
      <c r="AG39" s="235">
        <f t="shared" si="25"/>
        <v>0</v>
      </c>
      <c r="AH39" s="235">
        <f t="shared" si="25"/>
        <v>0</v>
      </c>
      <c r="AI39" s="235">
        <f t="shared" si="25"/>
        <v>0</v>
      </c>
      <c r="AJ39" s="235">
        <f t="shared" si="25"/>
        <v>0</v>
      </c>
      <c r="AK39" s="235">
        <f t="shared" si="25"/>
        <v>0</v>
      </c>
      <c r="AL39" s="235">
        <f t="shared" si="25"/>
        <v>0</v>
      </c>
      <c r="AM39" s="293">
        <f t="shared" si="2"/>
        <v>60000</v>
      </c>
      <c r="AN39" s="238"/>
      <c r="AO39" s="13"/>
      <c r="AP39" s="13"/>
      <c r="AQ39" s="13"/>
      <c r="AR39" s="13"/>
    </row>
    <row r="40" spans="1:44" ht="19">
      <c r="A40" s="267" t="s">
        <v>240</v>
      </c>
      <c r="B40" s="268"/>
      <c r="C40" s="269"/>
      <c r="D40" s="270">
        <f t="shared" ref="D40:L40" si="26">+D26+D31+D36</f>
        <v>0</v>
      </c>
      <c r="E40" s="271">
        <f t="shared" si="26"/>
        <v>0</v>
      </c>
      <c r="F40" s="272">
        <f t="shared" si="26"/>
        <v>0</v>
      </c>
      <c r="G40" s="273">
        <f t="shared" si="26"/>
        <v>0</v>
      </c>
      <c r="H40" s="273">
        <f t="shared" si="26"/>
        <v>0</v>
      </c>
      <c r="I40" s="273">
        <f t="shared" si="26"/>
        <v>0</v>
      </c>
      <c r="J40" s="273">
        <f t="shared" si="26"/>
        <v>880000</v>
      </c>
      <c r="K40" s="274">
        <f t="shared" si="26"/>
        <v>0</v>
      </c>
      <c r="L40" s="274">
        <f t="shared" si="26"/>
        <v>0</v>
      </c>
      <c r="M40" s="297">
        <f t="shared" si="0"/>
        <v>880000</v>
      </c>
      <c r="N40" s="273">
        <f t="shared" ref="N40:Y40" si="27">+N26+N31+N36</f>
        <v>0</v>
      </c>
      <c r="O40" s="273">
        <f t="shared" si="27"/>
        <v>0</v>
      </c>
      <c r="P40" s="273">
        <f t="shared" si="27"/>
        <v>0</v>
      </c>
      <c r="Q40" s="273">
        <f t="shared" si="27"/>
        <v>0</v>
      </c>
      <c r="R40" s="273">
        <f t="shared" si="27"/>
        <v>0</v>
      </c>
      <c r="S40" s="273">
        <f t="shared" si="27"/>
        <v>0</v>
      </c>
      <c r="T40" s="273">
        <f t="shared" si="27"/>
        <v>0</v>
      </c>
      <c r="U40" s="273">
        <f t="shared" si="27"/>
        <v>0</v>
      </c>
      <c r="V40" s="273">
        <f t="shared" si="27"/>
        <v>0</v>
      </c>
      <c r="W40" s="273">
        <f t="shared" si="27"/>
        <v>0</v>
      </c>
      <c r="X40" s="273">
        <f t="shared" si="27"/>
        <v>0</v>
      </c>
      <c r="Y40" s="273">
        <f t="shared" si="27"/>
        <v>0</v>
      </c>
      <c r="Z40" s="297">
        <f t="shared" si="1"/>
        <v>0</v>
      </c>
      <c r="AA40" s="273">
        <f t="shared" ref="AA40:AL40" si="28">+AA26+AA31+AA36</f>
        <v>0</v>
      </c>
      <c r="AB40" s="273">
        <f t="shared" si="28"/>
        <v>0</v>
      </c>
      <c r="AC40" s="273">
        <f t="shared" si="28"/>
        <v>0</v>
      </c>
      <c r="AD40" s="273">
        <f t="shared" si="28"/>
        <v>0</v>
      </c>
      <c r="AE40" s="273">
        <f t="shared" si="28"/>
        <v>0</v>
      </c>
      <c r="AF40" s="273">
        <f t="shared" si="28"/>
        <v>0</v>
      </c>
      <c r="AG40" s="273">
        <f t="shared" si="28"/>
        <v>0</v>
      </c>
      <c r="AH40" s="273">
        <f t="shared" si="28"/>
        <v>0</v>
      </c>
      <c r="AI40" s="273">
        <f t="shared" si="28"/>
        <v>0</v>
      </c>
      <c r="AJ40" s="273">
        <f t="shared" si="28"/>
        <v>0</v>
      </c>
      <c r="AK40" s="273">
        <f t="shared" si="28"/>
        <v>0</v>
      </c>
      <c r="AL40" s="273">
        <f t="shared" si="28"/>
        <v>0</v>
      </c>
      <c r="AM40" s="297">
        <f t="shared" si="2"/>
        <v>0</v>
      </c>
      <c r="AN40" s="238"/>
      <c r="AO40" s="13"/>
      <c r="AP40" s="13"/>
      <c r="AQ40" s="13"/>
      <c r="AR40" s="13"/>
    </row>
    <row r="41" spans="1:44" s="213" customFormat="1" ht="20" thickBot="1">
      <c r="A41" s="250" t="s">
        <v>241</v>
      </c>
      <c r="B41" s="251"/>
      <c r="C41" s="251"/>
      <c r="D41" s="252">
        <f t="shared" ref="D41:J42" si="29">+D38+D33+D28</f>
        <v>0</v>
      </c>
      <c r="E41" s="252">
        <f t="shared" si="29"/>
        <v>0</v>
      </c>
      <c r="F41" s="252">
        <f t="shared" si="29"/>
        <v>0</v>
      </c>
      <c r="G41" s="252">
        <f t="shared" si="29"/>
        <v>0</v>
      </c>
      <c r="H41" s="252">
        <f t="shared" si="29"/>
        <v>0</v>
      </c>
      <c r="I41" s="252">
        <f t="shared" si="29"/>
        <v>0</v>
      </c>
      <c r="J41" s="252">
        <f t="shared" si="29"/>
        <v>0</v>
      </c>
      <c r="K41" s="252">
        <f>+K38+K33+K28</f>
        <v>0</v>
      </c>
      <c r="L41" s="252">
        <f>+L38+L33+L28</f>
        <v>0</v>
      </c>
      <c r="M41" s="296">
        <f>SUM(D41:L41)</f>
        <v>0</v>
      </c>
      <c r="N41" s="252">
        <f t="shared" ref="N41:Q42" si="30">+N38+N33+N28</f>
        <v>0</v>
      </c>
      <c r="O41" s="252">
        <f t="shared" si="30"/>
        <v>0</v>
      </c>
      <c r="P41" s="252">
        <f t="shared" si="30"/>
        <v>0</v>
      </c>
      <c r="Q41" s="252">
        <f t="shared" si="30"/>
        <v>0</v>
      </c>
      <c r="R41" s="252">
        <f>+R38+R33+R28</f>
        <v>210000</v>
      </c>
      <c r="S41" s="252">
        <f t="shared" ref="S41:Y42" si="31">+S38+S33+S28</f>
        <v>252000</v>
      </c>
      <c r="T41" s="252">
        <f t="shared" si="31"/>
        <v>252000</v>
      </c>
      <c r="U41" s="252">
        <f t="shared" si="31"/>
        <v>252000</v>
      </c>
      <c r="V41" s="252">
        <f t="shared" si="31"/>
        <v>304500</v>
      </c>
      <c r="W41" s="252">
        <f t="shared" si="31"/>
        <v>304500</v>
      </c>
      <c r="X41" s="252">
        <f t="shared" si="31"/>
        <v>252000</v>
      </c>
      <c r="Y41" s="252">
        <f t="shared" si="31"/>
        <v>252000</v>
      </c>
      <c r="Z41" s="296">
        <f t="shared" si="1"/>
        <v>2079000</v>
      </c>
      <c r="AA41" s="252">
        <f t="shared" ref="AA41:AL42" si="32">+AA38+AA33+AA28</f>
        <v>147000</v>
      </c>
      <c r="AB41" s="252">
        <f t="shared" si="32"/>
        <v>42000</v>
      </c>
      <c r="AC41" s="252">
        <f t="shared" si="32"/>
        <v>42000</v>
      </c>
      <c r="AD41" s="252">
        <f t="shared" si="32"/>
        <v>42000</v>
      </c>
      <c r="AE41" s="252">
        <f t="shared" si="32"/>
        <v>42000</v>
      </c>
      <c r="AF41" s="252">
        <f t="shared" si="32"/>
        <v>42000</v>
      </c>
      <c r="AG41" s="252">
        <f t="shared" si="32"/>
        <v>42000</v>
      </c>
      <c r="AH41" s="252">
        <f t="shared" si="32"/>
        <v>42000</v>
      </c>
      <c r="AI41" s="252">
        <f t="shared" si="32"/>
        <v>42000</v>
      </c>
      <c r="AJ41" s="252">
        <f t="shared" si="32"/>
        <v>42000</v>
      </c>
      <c r="AK41" s="252">
        <f t="shared" si="32"/>
        <v>42000</v>
      </c>
      <c r="AL41" s="252">
        <f t="shared" si="32"/>
        <v>42000</v>
      </c>
      <c r="AM41" s="296">
        <f t="shared" si="2"/>
        <v>609000</v>
      </c>
      <c r="AN41" s="238"/>
      <c r="AO41" s="238"/>
      <c r="AP41" s="238"/>
      <c r="AQ41" s="238"/>
      <c r="AR41" s="238"/>
    </row>
    <row r="42" spans="1:44" s="213" customFormat="1" ht="20" thickBot="1">
      <c r="A42" s="253" t="s">
        <v>242</v>
      </c>
      <c r="B42" s="254"/>
      <c r="C42" s="254"/>
      <c r="D42" s="252">
        <f t="shared" si="29"/>
        <v>0</v>
      </c>
      <c r="E42" s="252">
        <f t="shared" si="29"/>
        <v>0</v>
      </c>
      <c r="F42" s="252">
        <f t="shared" si="29"/>
        <v>0</v>
      </c>
      <c r="G42" s="252">
        <f t="shared" si="29"/>
        <v>0</v>
      </c>
      <c r="H42" s="252">
        <f t="shared" si="29"/>
        <v>0</v>
      </c>
      <c r="I42" s="252">
        <f t="shared" si="29"/>
        <v>0</v>
      </c>
      <c r="J42" s="252">
        <f t="shared" si="29"/>
        <v>0</v>
      </c>
      <c r="K42" s="252">
        <f>+K39+K34+K29</f>
        <v>0</v>
      </c>
      <c r="L42" s="252">
        <f>+L39+L34+L29</f>
        <v>0</v>
      </c>
      <c r="M42" s="296">
        <f>SUM(D42:L42)</f>
        <v>0</v>
      </c>
      <c r="N42" s="252">
        <f t="shared" si="30"/>
        <v>0</v>
      </c>
      <c r="O42" s="252">
        <f t="shared" si="30"/>
        <v>0</v>
      </c>
      <c r="P42" s="252">
        <f t="shared" si="30"/>
        <v>0</v>
      </c>
      <c r="Q42" s="252">
        <f t="shared" si="30"/>
        <v>0</v>
      </c>
      <c r="R42" s="252">
        <f>+R39+R34+R29</f>
        <v>120000</v>
      </c>
      <c r="S42" s="252">
        <f t="shared" si="31"/>
        <v>92000</v>
      </c>
      <c r="T42" s="252">
        <f t="shared" si="31"/>
        <v>120000</v>
      </c>
      <c r="U42" s="252">
        <f t="shared" si="31"/>
        <v>120000</v>
      </c>
      <c r="V42" s="252">
        <f t="shared" si="31"/>
        <v>150000</v>
      </c>
      <c r="W42" s="252">
        <f t="shared" si="31"/>
        <v>150000</v>
      </c>
      <c r="X42" s="252">
        <f t="shared" si="31"/>
        <v>120000</v>
      </c>
      <c r="Y42" s="252">
        <f t="shared" si="31"/>
        <v>120000</v>
      </c>
      <c r="Z42" s="296">
        <f t="shared" si="1"/>
        <v>992000</v>
      </c>
      <c r="AA42" s="252">
        <f t="shared" si="32"/>
        <v>60000</v>
      </c>
      <c r="AB42" s="252">
        <f t="shared" si="32"/>
        <v>0</v>
      </c>
      <c r="AC42" s="252">
        <f t="shared" si="32"/>
        <v>0</v>
      </c>
      <c r="AD42" s="252">
        <f t="shared" si="32"/>
        <v>0</v>
      </c>
      <c r="AE42" s="252">
        <f t="shared" si="32"/>
        <v>0</v>
      </c>
      <c r="AF42" s="252">
        <f t="shared" si="32"/>
        <v>0</v>
      </c>
      <c r="AG42" s="252">
        <f t="shared" si="32"/>
        <v>0</v>
      </c>
      <c r="AH42" s="252">
        <f t="shared" si="32"/>
        <v>0</v>
      </c>
      <c r="AI42" s="252">
        <f t="shared" si="32"/>
        <v>0</v>
      </c>
      <c r="AJ42" s="252">
        <f t="shared" si="32"/>
        <v>0</v>
      </c>
      <c r="AK42" s="252">
        <f t="shared" si="32"/>
        <v>0</v>
      </c>
      <c r="AL42" s="252">
        <f t="shared" si="32"/>
        <v>0</v>
      </c>
      <c r="AM42" s="296">
        <f t="shared" si="2"/>
        <v>60000</v>
      </c>
      <c r="AN42" s="238"/>
      <c r="AO42" s="238"/>
      <c r="AP42" s="238"/>
      <c r="AQ42" s="238"/>
      <c r="AR42" s="238"/>
    </row>
    <row r="43" spans="1:44" s="255" customFormat="1" ht="20.25" customHeight="1" thickBot="1"/>
    <row r="44" spans="1:44" ht="17" thickBot="1">
      <c r="A44" s="253" t="s">
        <v>229</v>
      </c>
      <c r="B44" s="254" t="s">
        <v>255</v>
      </c>
      <c r="C44" s="254"/>
      <c r="D44" s="275"/>
      <c r="E44" s="276"/>
      <c r="F44" s="276"/>
      <c r="G44" s="276"/>
      <c r="H44" s="276"/>
      <c r="I44" s="276"/>
      <c r="J44" s="276"/>
      <c r="K44" s="276"/>
      <c r="L44" s="276"/>
      <c r="M44" s="298">
        <f t="shared" si="0"/>
        <v>0</v>
      </c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98">
        <f t="shared" si="1"/>
        <v>0</v>
      </c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98">
        <f t="shared" si="2"/>
        <v>0</v>
      </c>
      <c r="AN44" s="13"/>
      <c r="AO44" s="13"/>
      <c r="AP44" s="13"/>
      <c r="AQ44" s="13"/>
      <c r="AR44" s="13"/>
    </row>
    <row r="45" spans="1:44" ht="16">
      <c r="A45" s="209">
        <v>100</v>
      </c>
      <c r="B45" s="210" t="s">
        <v>230</v>
      </c>
      <c r="C45" s="210" t="s">
        <v>247</v>
      </c>
      <c r="D45" s="211"/>
      <c r="E45" s="212"/>
      <c r="F45" s="212"/>
      <c r="G45" s="210"/>
      <c r="H45" s="210"/>
      <c r="I45" s="210"/>
      <c r="J45" s="210"/>
      <c r="K45" s="210"/>
      <c r="L45" s="210"/>
      <c r="M45" s="288">
        <f t="shared" si="0"/>
        <v>0</v>
      </c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88">
        <f t="shared" si="1"/>
        <v>0</v>
      </c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88">
        <f t="shared" si="2"/>
        <v>0</v>
      </c>
    </row>
    <row r="46" spans="1:44" ht="19">
      <c r="A46" s="214">
        <v>1000</v>
      </c>
      <c r="B46" s="215" t="s">
        <v>248</v>
      </c>
      <c r="C46" s="216" t="s">
        <v>78</v>
      </c>
      <c r="D46" s="217"/>
      <c r="E46" s="218"/>
      <c r="F46" s="219"/>
      <c r="G46" s="216"/>
      <c r="H46" s="216"/>
      <c r="I46" s="216"/>
      <c r="J46" s="219"/>
      <c r="K46" s="216"/>
      <c r="L46" s="216"/>
      <c r="M46" s="289">
        <f t="shared" si="0"/>
        <v>0</v>
      </c>
      <c r="N46" s="216"/>
      <c r="O46" s="216"/>
      <c r="P46" s="216"/>
      <c r="Q46" s="216"/>
      <c r="R46" s="216"/>
      <c r="S46" s="216"/>
      <c r="T46" s="216"/>
      <c r="U46" s="216"/>
      <c r="V46" s="216"/>
      <c r="W46" s="311">
        <f>+A46*A45</f>
        <v>100000</v>
      </c>
      <c r="X46" s="216"/>
      <c r="Y46" s="216"/>
      <c r="Z46" s="289">
        <f t="shared" si="1"/>
        <v>100000</v>
      </c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89">
        <f t="shared" si="2"/>
        <v>0</v>
      </c>
      <c r="AN46" s="238"/>
      <c r="AO46" s="13"/>
      <c r="AP46" s="13"/>
      <c r="AQ46" s="13"/>
      <c r="AR46" s="13"/>
    </row>
    <row r="47" spans="1:44" ht="19">
      <c r="A47" s="221">
        <v>600</v>
      </c>
      <c r="B47" s="215"/>
      <c r="C47" s="220" t="s">
        <v>245</v>
      </c>
      <c r="D47" s="217"/>
      <c r="E47" s="218"/>
      <c r="F47" s="219"/>
      <c r="G47" s="216"/>
      <c r="H47" s="216"/>
      <c r="I47" s="216"/>
      <c r="J47" s="219"/>
      <c r="K47" s="216"/>
      <c r="L47" s="216"/>
      <c r="M47" s="289">
        <f t="shared" si="0"/>
        <v>0</v>
      </c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89">
        <f t="shared" si="1"/>
        <v>0</v>
      </c>
      <c r="AA47" s="216"/>
      <c r="AB47" s="216"/>
      <c r="AC47" s="216"/>
      <c r="AD47" s="220">
        <f>+A45</f>
        <v>100</v>
      </c>
      <c r="AE47" s="216"/>
      <c r="AF47" s="216"/>
      <c r="AG47" s="216"/>
      <c r="AH47" s="216"/>
      <c r="AI47" s="216"/>
      <c r="AJ47" s="216"/>
      <c r="AK47" s="216"/>
      <c r="AL47" s="216"/>
      <c r="AM47" s="289">
        <f t="shared" si="2"/>
        <v>100</v>
      </c>
      <c r="AN47" s="238"/>
      <c r="AO47" s="13"/>
      <c r="AP47" s="13"/>
      <c r="AQ47" s="13"/>
      <c r="AR47" s="13"/>
    </row>
    <row r="48" spans="1:44" ht="19">
      <c r="A48" s="222"/>
      <c r="B48" s="223"/>
      <c r="C48" s="224" t="s">
        <v>235</v>
      </c>
      <c r="D48" s="225"/>
      <c r="E48" s="226"/>
      <c r="F48" s="227"/>
      <c r="G48" s="224"/>
      <c r="H48" s="224"/>
      <c r="I48" s="224"/>
      <c r="J48" s="227"/>
      <c r="K48" s="228"/>
      <c r="L48" s="228"/>
      <c r="M48" s="290">
        <f t="shared" si="0"/>
        <v>0</v>
      </c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90">
        <f t="shared" si="1"/>
        <v>0</v>
      </c>
      <c r="AA48" s="228"/>
      <c r="AB48" s="228"/>
      <c r="AC48" s="228"/>
      <c r="AD48" s="228">
        <f>+$A$47*$A$45</f>
        <v>60000</v>
      </c>
      <c r="AE48" s="228">
        <f t="shared" ref="AE48:AL48" si="33">+$A$47*$A$45</f>
        <v>60000</v>
      </c>
      <c r="AF48" s="228">
        <f t="shared" si="33"/>
        <v>60000</v>
      </c>
      <c r="AG48" s="228">
        <f t="shared" si="33"/>
        <v>60000</v>
      </c>
      <c r="AH48" s="228">
        <f t="shared" si="33"/>
        <v>60000</v>
      </c>
      <c r="AI48" s="228">
        <f t="shared" si="33"/>
        <v>60000</v>
      </c>
      <c r="AJ48" s="228">
        <f t="shared" si="33"/>
        <v>60000</v>
      </c>
      <c r="AK48" s="228">
        <f t="shared" si="33"/>
        <v>60000</v>
      </c>
      <c r="AL48" s="228">
        <f t="shared" si="33"/>
        <v>60000</v>
      </c>
      <c r="AM48" s="290">
        <f t="shared" si="2"/>
        <v>540000</v>
      </c>
      <c r="AN48" s="238"/>
      <c r="AO48" s="13"/>
      <c r="AP48" s="13"/>
      <c r="AQ48" s="13"/>
      <c r="AR48" s="13"/>
    </row>
    <row r="49" spans="1:44" ht="19">
      <c r="A49" s="259"/>
      <c r="B49" s="230"/>
      <c r="C49" s="260" t="s">
        <v>236</v>
      </c>
      <c r="D49" s="232"/>
      <c r="E49" s="233"/>
      <c r="F49" s="234"/>
      <c r="G49" s="231"/>
      <c r="H49" s="231"/>
      <c r="I49" s="231"/>
      <c r="J49" s="234"/>
      <c r="K49" s="231"/>
      <c r="L49" s="231"/>
      <c r="M49" s="29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9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91"/>
      <c r="AN49" s="238"/>
      <c r="AO49" s="13"/>
      <c r="AP49" s="13"/>
      <c r="AQ49" s="13"/>
      <c r="AR49" s="13"/>
    </row>
    <row r="50" spans="1:44" ht="16">
      <c r="A50" s="236">
        <v>150</v>
      </c>
      <c r="B50" s="220" t="s">
        <v>237</v>
      </c>
      <c r="C50" s="220"/>
      <c r="D50" s="217"/>
      <c r="E50" s="218"/>
      <c r="F50" s="219"/>
      <c r="G50" s="220"/>
      <c r="H50" s="220"/>
      <c r="I50" s="220"/>
      <c r="J50" s="219"/>
      <c r="K50" s="237"/>
      <c r="L50" s="237"/>
      <c r="M50" s="292">
        <f t="shared" si="0"/>
        <v>0</v>
      </c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92">
        <f t="shared" si="1"/>
        <v>0</v>
      </c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92">
        <f t="shared" si="2"/>
        <v>0</v>
      </c>
      <c r="AN50" s="13"/>
      <c r="AO50" s="13"/>
      <c r="AP50" s="13"/>
      <c r="AQ50" s="13"/>
      <c r="AR50" s="13"/>
    </row>
    <row r="51" spans="1:44" ht="16">
      <c r="A51" s="214">
        <v>4500</v>
      </c>
      <c r="B51" s="239" t="s">
        <v>248</v>
      </c>
      <c r="C51" s="220" t="s">
        <v>78</v>
      </c>
      <c r="D51" s="217"/>
      <c r="E51" s="218"/>
      <c r="F51" s="219"/>
      <c r="G51" s="220"/>
      <c r="H51" s="220"/>
      <c r="I51" s="220"/>
      <c r="J51" s="219"/>
      <c r="K51" s="237"/>
      <c r="L51" s="237"/>
      <c r="M51" s="292">
        <f t="shared" si="0"/>
        <v>0</v>
      </c>
      <c r="N51" s="237"/>
      <c r="O51" s="237"/>
      <c r="P51" s="237"/>
      <c r="Q51" s="237"/>
      <c r="R51" s="237"/>
      <c r="S51" s="237"/>
      <c r="T51" s="237"/>
      <c r="U51" s="237"/>
      <c r="V51" s="237"/>
      <c r="W51" s="237">
        <f>+A51*A50</f>
        <v>675000</v>
      </c>
      <c r="X51" s="237"/>
      <c r="Y51" s="237"/>
      <c r="Z51" s="292">
        <f t="shared" si="1"/>
        <v>675000</v>
      </c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92">
        <f t="shared" si="2"/>
        <v>0</v>
      </c>
      <c r="AN51" s="13"/>
      <c r="AO51" s="13"/>
      <c r="AP51" s="13"/>
      <c r="AQ51" s="13"/>
      <c r="AR51" s="13"/>
    </row>
    <row r="52" spans="1:44" ht="16">
      <c r="A52" s="221">
        <v>10500</v>
      </c>
      <c r="B52" s="216"/>
      <c r="C52" s="220" t="s">
        <v>245</v>
      </c>
      <c r="D52" s="217"/>
      <c r="E52" s="218"/>
      <c r="F52" s="219"/>
      <c r="G52" s="220"/>
      <c r="H52" s="220"/>
      <c r="I52" s="220"/>
      <c r="J52" s="219"/>
      <c r="K52" s="237"/>
      <c r="L52" s="237"/>
      <c r="M52" s="292">
        <f t="shared" si="0"/>
        <v>0</v>
      </c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92">
        <f t="shared" si="1"/>
        <v>0</v>
      </c>
      <c r="AA52" s="237"/>
      <c r="AB52" s="237"/>
      <c r="AC52" s="237"/>
      <c r="AD52" s="237">
        <v>40</v>
      </c>
      <c r="AE52" s="237">
        <v>40</v>
      </c>
      <c r="AF52" s="237">
        <v>40</v>
      </c>
      <c r="AG52" s="237">
        <v>30</v>
      </c>
      <c r="AH52" s="237"/>
      <c r="AI52" s="237"/>
      <c r="AJ52" s="237"/>
      <c r="AK52" s="237"/>
      <c r="AL52" s="237"/>
      <c r="AM52" s="292">
        <f t="shared" si="2"/>
        <v>150</v>
      </c>
      <c r="AN52" s="13"/>
      <c r="AO52" s="13"/>
      <c r="AP52" s="13"/>
      <c r="AQ52" s="13"/>
      <c r="AR52" s="13"/>
    </row>
    <row r="53" spans="1:44" ht="16">
      <c r="A53" s="261"/>
      <c r="B53" s="262"/>
      <c r="C53" s="224" t="s">
        <v>235</v>
      </c>
      <c r="D53" s="225"/>
      <c r="E53" s="226"/>
      <c r="F53" s="227"/>
      <c r="G53" s="263"/>
      <c r="H53" s="263"/>
      <c r="I53" s="263"/>
      <c r="J53" s="227"/>
      <c r="K53" s="228"/>
      <c r="L53" s="228"/>
      <c r="M53" s="290">
        <f t="shared" si="0"/>
        <v>0</v>
      </c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90">
        <f t="shared" si="1"/>
        <v>0</v>
      </c>
      <c r="AA53" s="228"/>
      <c r="AB53" s="228"/>
      <c r="AC53" s="228"/>
      <c r="AD53" s="228">
        <f>+AD52*$A$52</f>
        <v>420000</v>
      </c>
      <c r="AE53" s="228">
        <f>+AE52*$A$52</f>
        <v>420000</v>
      </c>
      <c r="AF53" s="228">
        <f>+AF52*$A$52</f>
        <v>420000</v>
      </c>
      <c r="AG53" s="228">
        <f>+AG52*$A$52</f>
        <v>315000</v>
      </c>
      <c r="AH53" s="228"/>
      <c r="AI53" s="228"/>
      <c r="AJ53" s="228"/>
      <c r="AK53" s="228"/>
      <c r="AL53" s="228"/>
      <c r="AM53" s="290">
        <f t="shared" si="2"/>
        <v>1575000</v>
      </c>
      <c r="AN53" s="13"/>
      <c r="AO53" s="13"/>
      <c r="AP53" s="13"/>
      <c r="AQ53" s="13"/>
      <c r="AR53" s="13"/>
    </row>
    <row r="54" spans="1:44" ht="16">
      <c r="A54" s="264"/>
      <c r="B54" s="265"/>
      <c r="C54" s="231" t="s">
        <v>236</v>
      </c>
      <c r="D54" s="235">
        <f t="shared" ref="D54:J54" si="34">+D52*($A52-$A51)</f>
        <v>0</v>
      </c>
      <c r="E54" s="235">
        <f t="shared" si="34"/>
        <v>0</v>
      </c>
      <c r="F54" s="235">
        <f t="shared" si="34"/>
        <v>0</v>
      </c>
      <c r="G54" s="235">
        <f t="shared" si="34"/>
        <v>0</v>
      </c>
      <c r="H54" s="235">
        <f t="shared" si="34"/>
        <v>0</v>
      </c>
      <c r="I54" s="235">
        <f t="shared" si="34"/>
        <v>0</v>
      </c>
      <c r="J54" s="235">
        <f t="shared" si="34"/>
        <v>0</v>
      </c>
      <c r="K54" s="235">
        <f>+K52*($A52-$A51)</f>
        <v>0</v>
      </c>
      <c r="L54" s="235">
        <f>+L52*($A52-$A51)</f>
        <v>0</v>
      </c>
      <c r="M54" s="293">
        <f>SUM(D54:L54)</f>
        <v>0</v>
      </c>
      <c r="N54" s="235">
        <f t="shared" ref="N54:AL54" si="35">+N52*($A52-$A51)</f>
        <v>0</v>
      </c>
      <c r="O54" s="235">
        <f t="shared" si="35"/>
        <v>0</v>
      </c>
      <c r="P54" s="235">
        <f t="shared" si="35"/>
        <v>0</v>
      </c>
      <c r="Q54" s="235">
        <f t="shared" si="35"/>
        <v>0</v>
      </c>
      <c r="R54" s="235">
        <f t="shared" si="35"/>
        <v>0</v>
      </c>
      <c r="S54" s="235">
        <f t="shared" si="35"/>
        <v>0</v>
      </c>
      <c r="T54" s="235">
        <f t="shared" si="35"/>
        <v>0</v>
      </c>
      <c r="U54" s="235">
        <f t="shared" si="35"/>
        <v>0</v>
      </c>
      <c r="V54" s="235">
        <f t="shared" si="35"/>
        <v>0</v>
      </c>
      <c r="W54" s="235">
        <f t="shared" si="35"/>
        <v>0</v>
      </c>
      <c r="X54" s="235">
        <f t="shared" si="35"/>
        <v>0</v>
      </c>
      <c r="Y54" s="235">
        <f t="shared" si="35"/>
        <v>0</v>
      </c>
      <c r="Z54" s="293">
        <f t="shared" si="1"/>
        <v>0</v>
      </c>
      <c r="AA54" s="235">
        <f t="shared" si="35"/>
        <v>0</v>
      </c>
      <c r="AB54" s="235">
        <f t="shared" si="35"/>
        <v>0</v>
      </c>
      <c r="AC54" s="235">
        <f t="shared" si="35"/>
        <v>0</v>
      </c>
      <c r="AD54" s="235">
        <f t="shared" si="35"/>
        <v>240000</v>
      </c>
      <c r="AE54" s="235">
        <f t="shared" si="35"/>
        <v>240000</v>
      </c>
      <c r="AF54" s="235">
        <f t="shared" si="35"/>
        <v>240000</v>
      </c>
      <c r="AG54" s="235">
        <f t="shared" si="35"/>
        <v>180000</v>
      </c>
      <c r="AH54" s="235">
        <f t="shared" si="35"/>
        <v>0</v>
      </c>
      <c r="AI54" s="235">
        <f t="shared" si="35"/>
        <v>0</v>
      </c>
      <c r="AJ54" s="235">
        <f t="shared" si="35"/>
        <v>0</v>
      </c>
      <c r="AK54" s="235">
        <f t="shared" si="35"/>
        <v>0</v>
      </c>
      <c r="AL54" s="235">
        <f t="shared" si="35"/>
        <v>0</v>
      </c>
      <c r="AM54" s="293">
        <f t="shared" si="2"/>
        <v>900000</v>
      </c>
      <c r="AN54" s="13"/>
      <c r="AO54" s="13"/>
      <c r="AP54" s="13"/>
      <c r="AQ54" s="13"/>
      <c r="AR54" s="13"/>
    </row>
    <row r="55" spans="1:44" ht="16">
      <c r="A55" s="266">
        <v>150</v>
      </c>
      <c r="B55" s="216" t="s">
        <v>238</v>
      </c>
      <c r="C55" s="216"/>
      <c r="D55" s="217"/>
      <c r="E55" s="218"/>
      <c r="F55" s="219"/>
      <c r="G55" s="216"/>
      <c r="H55" s="216"/>
      <c r="I55" s="216"/>
      <c r="J55" s="219"/>
      <c r="K55" s="237"/>
      <c r="L55" s="237"/>
      <c r="M55" s="292">
        <f t="shared" si="0"/>
        <v>0</v>
      </c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92">
        <f t="shared" si="1"/>
        <v>0</v>
      </c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92">
        <f t="shared" si="2"/>
        <v>0</v>
      </c>
      <c r="AN55" s="13"/>
      <c r="AO55" s="13"/>
      <c r="AP55" s="13"/>
      <c r="AQ55" s="13"/>
      <c r="AR55" s="13"/>
    </row>
    <row r="56" spans="1:44" ht="19">
      <c r="A56" s="240">
        <v>4500</v>
      </c>
      <c r="B56" s="215" t="s">
        <v>249</v>
      </c>
      <c r="C56" s="216" t="s">
        <v>78</v>
      </c>
      <c r="D56" s="217"/>
      <c r="E56" s="218"/>
      <c r="F56" s="219"/>
      <c r="G56" s="216"/>
      <c r="H56" s="216"/>
      <c r="I56" s="216"/>
      <c r="J56" s="219"/>
      <c r="K56" s="237"/>
      <c r="L56" s="237"/>
      <c r="M56" s="292">
        <f t="shared" si="0"/>
        <v>0</v>
      </c>
      <c r="N56" s="237"/>
      <c r="O56" s="237"/>
      <c r="P56" s="237"/>
      <c r="Q56" s="237"/>
      <c r="R56" s="237"/>
      <c r="S56" s="237"/>
      <c r="T56" s="237"/>
      <c r="U56" s="237"/>
      <c r="V56" s="237"/>
      <c r="W56" s="237">
        <f>+A56*A55</f>
        <v>675000</v>
      </c>
      <c r="X56" s="237"/>
      <c r="Y56" s="237"/>
      <c r="Z56" s="292">
        <f t="shared" si="1"/>
        <v>675000</v>
      </c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92">
        <f t="shared" si="2"/>
        <v>0</v>
      </c>
      <c r="AN56" s="238"/>
      <c r="AO56" s="13"/>
      <c r="AP56" s="13"/>
      <c r="AQ56" s="13"/>
      <c r="AR56" s="13"/>
    </row>
    <row r="57" spans="1:44" ht="19">
      <c r="A57" s="241">
        <v>10500</v>
      </c>
      <c r="B57" s="215"/>
      <c r="C57" s="220" t="s">
        <v>245</v>
      </c>
      <c r="D57" s="217"/>
      <c r="E57" s="218"/>
      <c r="F57" s="219"/>
      <c r="G57" s="216"/>
      <c r="H57" s="216"/>
      <c r="I57" s="216"/>
      <c r="J57" s="219"/>
      <c r="K57" s="237"/>
      <c r="L57" s="237"/>
      <c r="M57" s="292">
        <f t="shared" si="0"/>
        <v>0</v>
      </c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92">
        <f t="shared" si="1"/>
        <v>0</v>
      </c>
      <c r="AA57" s="237"/>
      <c r="AB57" s="237"/>
      <c r="AC57" s="237"/>
      <c r="AD57" s="237"/>
      <c r="AE57" s="237"/>
      <c r="AF57" s="237"/>
      <c r="AG57" s="237"/>
      <c r="AH57" s="237">
        <v>40</v>
      </c>
      <c r="AI57" s="237">
        <v>40</v>
      </c>
      <c r="AJ57" s="237">
        <v>40</v>
      </c>
      <c r="AK57" s="237">
        <v>30</v>
      </c>
      <c r="AL57" s="237"/>
      <c r="AM57" s="292">
        <f t="shared" si="2"/>
        <v>150</v>
      </c>
      <c r="AN57" s="238"/>
      <c r="AO57" s="13"/>
      <c r="AP57" s="13"/>
      <c r="AQ57" s="13"/>
      <c r="AR57" s="13"/>
    </row>
    <row r="58" spans="1:44" ht="20" thickBot="1">
      <c r="A58" s="222"/>
      <c r="B58" s="223"/>
      <c r="C58" s="224" t="s">
        <v>235</v>
      </c>
      <c r="D58" s="225"/>
      <c r="E58" s="226"/>
      <c r="F58" s="227"/>
      <c r="G58" s="224"/>
      <c r="H58" s="224"/>
      <c r="I58" s="224"/>
      <c r="J58" s="227"/>
      <c r="K58" s="228"/>
      <c r="L58" s="228"/>
      <c r="M58" s="290">
        <f t="shared" si="0"/>
        <v>0</v>
      </c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90">
        <f t="shared" si="1"/>
        <v>0</v>
      </c>
      <c r="AA58" s="228"/>
      <c r="AB58" s="228"/>
      <c r="AC58" s="228"/>
      <c r="AD58" s="228"/>
      <c r="AE58" s="228"/>
      <c r="AF58" s="228"/>
      <c r="AG58" s="228">
        <f>+AG57*$A$57</f>
        <v>0</v>
      </c>
      <c r="AH58" s="228">
        <f>+AH57*$A$57</f>
        <v>420000</v>
      </c>
      <c r="AI58" s="228">
        <f>+AI57*$A$57</f>
        <v>420000</v>
      </c>
      <c r="AJ58" s="228">
        <f>+AJ57*$A$57</f>
        <v>420000</v>
      </c>
      <c r="AK58" s="228">
        <f>+AK57*$A$57</f>
        <v>315000</v>
      </c>
      <c r="AL58" s="228"/>
      <c r="AM58" s="290">
        <f t="shared" si="2"/>
        <v>1575000</v>
      </c>
      <c r="AN58" s="238"/>
      <c r="AO58" s="13"/>
      <c r="AP58" s="13"/>
      <c r="AQ58" s="13"/>
      <c r="AR58" s="13"/>
    </row>
    <row r="59" spans="1:44" ht="17" thickBot="1">
      <c r="A59" s="209"/>
      <c r="B59" s="210"/>
      <c r="C59" s="210" t="s">
        <v>236</v>
      </c>
      <c r="D59" s="211">
        <f t="shared" ref="D59:J59" si="36">+D57*($A57-$A56)</f>
        <v>0</v>
      </c>
      <c r="E59" s="212">
        <f t="shared" si="36"/>
        <v>0</v>
      </c>
      <c r="F59" s="212">
        <f t="shared" si="36"/>
        <v>0</v>
      </c>
      <c r="G59" s="210">
        <f t="shared" si="36"/>
        <v>0</v>
      </c>
      <c r="H59" s="210">
        <f t="shared" si="36"/>
        <v>0</v>
      </c>
      <c r="I59" s="210">
        <f t="shared" si="36"/>
        <v>0</v>
      </c>
      <c r="J59" s="210">
        <f t="shared" si="36"/>
        <v>0</v>
      </c>
      <c r="K59" s="210">
        <f>+K57*($A57-$A56)</f>
        <v>0</v>
      </c>
      <c r="L59" s="210">
        <f>+L57*($A57-$A56)</f>
        <v>0</v>
      </c>
      <c r="M59" s="288">
        <f>SUM(D59:L59)</f>
        <v>0</v>
      </c>
      <c r="N59" s="210">
        <f t="shared" ref="N59:AL59" si="37">+N57*($A57-$A56)</f>
        <v>0</v>
      </c>
      <c r="O59" s="210">
        <f t="shared" si="37"/>
        <v>0</v>
      </c>
      <c r="P59" s="210">
        <f t="shared" si="37"/>
        <v>0</v>
      </c>
      <c r="Q59" s="210">
        <f t="shared" si="37"/>
        <v>0</v>
      </c>
      <c r="R59" s="210">
        <f t="shared" si="37"/>
        <v>0</v>
      </c>
      <c r="S59" s="210">
        <f t="shared" si="37"/>
        <v>0</v>
      </c>
      <c r="T59" s="210">
        <f t="shared" si="37"/>
        <v>0</v>
      </c>
      <c r="U59" s="210">
        <f t="shared" si="37"/>
        <v>0</v>
      </c>
      <c r="V59" s="210">
        <f t="shared" si="37"/>
        <v>0</v>
      </c>
      <c r="W59" s="210">
        <f t="shared" si="37"/>
        <v>0</v>
      </c>
      <c r="X59" s="210">
        <f t="shared" si="37"/>
        <v>0</v>
      </c>
      <c r="Y59" s="210">
        <f t="shared" si="37"/>
        <v>0</v>
      </c>
      <c r="Z59" s="288">
        <f t="shared" si="1"/>
        <v>0</v>
      </c>
      <c r="AA59" s="210">
        <f t="shared" si="37"/>
        <v>0</v>
      </c>
      <c r="AB59" s="210">
        <f t="shared" si="37"/>
        <v>0</v>
      </c>
      <c r="AC59" s="210">
        <f t="shared" si="37"/>
        <v>0</v>
      </c>
      <c r="AD59" s="210">
        <f t="shared" si="37"/>
        <v>0</v>
      </c>
      <c r="AE59" s="210">
        <f t="shared" si="37"/>
        <v>0</v>
      </c>
      <c r="AF59" s="210">
        <f t="shared" si="37"/>
        <v>0</v>
      </c>
      <c r="AG59" s="210">
        <f>+AG57*($A57-$A56)</f>
        <v>0</v>
      </c>
      <c r="AH59" s="210">
        <f t="shared" si="37"/>
        <v>240000</v>
      </c>
      <c r="AI59" s="210">
        <f t="shared" si="37"/>
        <v>240000</v>
      </c>
      <c r="AJ59" s="210">
        <f t="shared" si="37"/>
        <v>240000</v>
      </c>
      <c r="AK59" s="210">
        <f t="shared" si="37"/>
        <v>180000</v>
      </c>
      <c r="AL59" s="210">
        <f t="shared" si="37"/>
        <v>0</v>
      </c>
      <c r="AM59" s="288">
        <f t="shared" si="2"/>
        <v>900000</v>
      </c>
    </row>
    <row r="60" spans="1:44" ht="19">
      <c r="A60" s="242" t="s">
        <v>240</v>
      </c>
      <c r="B60" s="243"/>
      <c r="C60" s="244"/>
      <c r="D60" s="245">
        <f t="shared" ref="D60:L60" si="38">+D46+D51+D56</f>
        <v>0</v>
      </c>
      <c r="E60" s="246">
        <f t="shared" si="38"/>
        <v>0</v>
      </c>
      <c r="F60" s="247">
        <f t="shared" si="38"/>
        <v>0</v>
      </c>
      <c r="G60" s="248">
        <f t="shared" si="38"/>
        <v>0</v>
      </c>
      <c r="H60" s="248">
        <f t="shared" si="38"/>
        <v>0</v>
      </c>
      <c r="I60" s="248">
        <f t="shared" si="38"/>
        <v>0</v>
      </c>
      <c r="J60" s="248">
        <f t="shared" si="38"/>
        <v>0</v>
      </c>
      <c r="K60" s="249">
        <f t="shared" si="38"/>
        <v>0</v>
      </c>
      <c r="L60" s="249">
        <f t="shared" si="38"/>
        <v>0</v>
      </c>
      <c r="M60" s="295">
        <f t="shared" si="0"/>
        <v>0</v>
      </c>
      <c r="N60" s="249">
        <f t="shared" ref="N60:Y60" si="39">+N46+N51+N56</f>
        <v>0</v>
      </c>
      <c r="O60" s="248">
        <f t="shared" si="39"/>
        <v>0</v>
      </c>
      <c r="P60" s="248">
        <f t="shared" si="39"/>
        <v>0</v>
      </c>
      <c r="Q60" s="248">
        <f t="shared" si="39"/>
        <v>0</v>
      </c>
      <c r="R60" s="248">
        <f t="shared" si="39"/>
        <v>0</v>
      </c>
      <c r="S60" s="248">
        <f t="shared" si="39"/>
        <v>0</v>
      </c>
      <c r="T60" s="248">
        <f t="shared" si="39"/>
        <v>0</v>
      </c>
      <c r="U60" s="248">
        <f t="shared" si="39"/>
        <v>0</v>
      </c>
      <c r="V60" s="248">
        <f t="shared" si="39"/>
        <v>0</v>
      </c>
      <c r="W60" s="248">
        <f t="shared" si="39"/>
        <v>1450000</v>
      </c>
      <c r="X60" s="248">
        <f t="shared" si="39"/>
        <v>0</v>
      </c>
      <c r="Y60" s="248">
        <f t="shared" si="39"/>
        <v>0</v>
      </c>
      <c r="Z60" s="295">
        <f t="shared" si="1"/>
        <v>1450000</v>
      </c>
      <c r="AA60" s="248">
        <f t="shared" ref="AA60:AL60" si="40">+AA46+AA51+AA56</f>
        <v>0</v>
      </c>
      <c r="AB60" s="248">
        <f t="shared" si="40"/>
        <v>0</v>
      </c>
      <c r="AC60" s="248">
        <f t="shared" si="40"/>
        <v>0</v>
      </c>
      <c r="AD60" s="248">
        <f t="shared" si="40"/>
        <v>0</v>
      </c>
      <c r="AE60" s="248">
        <f t="shared" si="40"/>
        <v>0</v>
      </c>
      <c r="AF60" s="248">
        <f t="shared" si="40"/>
        <v>0</v>
      </c>
      <c r="AG60" s="248">
        <f t="shared" si="40"/>
        <v>0</v>
      </c>
      <c r="AH60" s="248">
        <f t="shared" si="40"/>
        <v>0</v>
      </c>
      <c r="AI60" s="248">
        <f t="shared" si="40"/>
        <v>0</v>
      </c>
      <c r="AJ60" s="248">
        <f t="shared" si="40"/>
        <v>0</v>
      </c>
      <c r="AK60" s="248">
        <f t="shared" si="40"/>
        <v>0</v>
      </c>
      <c r="AL60" s="248">
        <f t="shared" si="40"/>
        <v>0</v>
      </c>
      <c r="AM60" s="295">
        <f t="shared" si="2"/>
        <v>0</v>
      </c>
      <c r="AN60" s="238"/>
      <c r="AO60" s="13"/>
      <c r="AP60" s="13"/>
      <c r="AQ60" s="13"/>
      <c r="AR60" s="13"/>
    </row>
    <row r="61" spans="1:44" s="213" customFormat="1" ht="20" thickBot="1">
      <c r="A61" s="250" t="s">
        <v>241</v>
      </c>
      <c r="B61" s="251"/>
      <c r="C61" s="251"/>
      <c r="D61" s="252">
        <f t="shared" ref="D61:J62" si="41">+D58+D53+D48</f>
        <v>0</v>
      </c>
      <c r="E61" s="252">
        <f t="shared" si="41"/>
        <v>0</v>
      </c>
      <c r="F61" s="252">
        <f t="shared" si="41"/>
        <v>0</v>
      </c>
      <c r="G61" s="252">
        <f t="shared" si="41"/>
        <v>0</v>
      </c>
      <c r="H61" s="252">
        <f t="shared" si="41"/>
        <v>0</v>
      </c>
      <c r="I61" s="252">
        <f t="shared" si="41"/>
        <v>0</v>
      </c>
      <c r="J61" s="252">
        <f t="shared" si="41"/>
        <v>0</v>
      </c>
      <c r="K61" s="252">
        <f>+K58+K53+K48</f>
        <v>0</v>
      </c>
      <c r="L61" s="252">
        <f>+L58+L53+L48</f>
        <v>0</v>
      </c>
      <c r="M61" s="296">
        <f t="shared" si="0"/>
        <v>0</v>
      </c>
      <c r="N61" s="252">
        <f>SUM(N45,N46,N47,N51,N52,N53,N56,N57,N58)</f>
        <v>0</v>
      </c>
      <c r="O61" s="252">
        <f t="shared" ref="O61:Q62" si="42">+O58+O53+O48</f>
        <v>0</v>
      </c>
      <c r="P61" s="252">
        <f t="shared" si="42"/>
        <v>0</v>
      </c>
      <c r="Q61" s="252">
        <f t="shared" si="42"/>
        <v>0</v>
      </c>
      <c r="R61" s="252">
        <f>+R58+R53+R48</f>
        <v>0</v>
      </c>
      <c r="S61" s="252">
        <f t="shared" ref="S61:Y62" si="43">+S58+S53+S48</f>
        <v>0</v>
      </c>
      <c r="T61" s="252">
        <f t="shared" si="43"/>
        <v>0</v>
      </c>
      <c r="U61" s="252">
        <f t="shared" si="43"/>
        <v>0</v>
      </c>
      <c r="V61" s="252">
        <f t="shared" si="43"/>
        <v>0</v>
      </c>
      <c r="W61" s="252">
        <f t="shared" si="43"/>
        <v>0</v>
      </c>
      <c r="X61" s="252">
        <f t="shared" si="43"/>
        <v>0</v>
      </c>
      <c r="Y61" s="252">
        <f t="shared" si="43"/>
        <v>0</v>
      </c>
      <c r="Z61" s="296">
        <f t="shared" si="1"/>
        <v>0</v>
      </c>
      <c r="AA61" s="252">
        <f t="shared" ref="AA61:AL62" si="44">+AA58+AA53+AA48</f>
        <v>0</v>
      </c>
      <c r="AB61" s="252">
        <f t="shared" si="44"/>
        <v>0</v>
      </c>
      <c r="AC61" s="252">
        <f t="shared" si="44"/>
        <v>0</v>
      </c>
      <c r="AD61" s="252">
        <f t="shared" si="44"/>
        <v>480000</v>
      </c>
      <c r="AE61" s="252">
        <f t="shared" si="44"/>
        <v>480000</v>
      </c>
      <c r="AF61" s="252">
        <f t="shared" si="44"/>
        <v>480000</v>
      </c>
      <c r="AG61" s="252">
        <f t="shared" si="44"/>
        <v>375000</v>
      </c>
      <c r="AH61" s="252">
        <f t="shared" si="44"/>
        <v>480000</v>
      </c>
      <c r="AI61" s="252">
        <f t="shared" si="44"/>
        <v>480000</v>
      </c>
      <c r="AJ61" s="252">
        <f t="shared" si="44"/>
        <v>480000</v>
      </c>
      <c r="AK61" s="252">
        <f t="shared" si="44"/>
        <v>375000</v>
      </c>
      <c r="AL61" s="252">
        <f t="shared" si="44"/>
        <v>60000</v>
      </c>
      <c r="AM61" s="296">
        <f t="shared" si="2"/>
        <v>3690000</v>
      </c>
      <c r="AN61" s="238"/>
      <c r="AO61" s="238"/>
      <c r="AP61" s="238"/>
      <c r="AQ61" s="238"/>
      <c r="AR61" s="238"/>
    </row>
    <row r="62" spans="1:44" s="213" customFormat="1" ht="20" thickBot="1">
      <c r="A62" s="253" t="s">
        <v>242</v>
      </c>
      <c r="B62" s="254"/>
      <c r="C62" s="254"/>
      <c r="D62" s="252">
        <f t="shared" si="41"/>
        <v>0</v>
      </c>
      <c r="E62" s="252">
        <f t="shared" si="41"/>
        <v>0</v>
      </c>
      <c r="F62" s="252">
        <f t="shared" si="41"/>
        <v>0</v>
      </c>
      <c r="G62" s="252">
        <f t="shared" si="41"/>
        <v>0</v>
      </c>
      <c r="H62" s="252">
        <f t="shared" si="41"/>
        <v>0</v>
      </c>
      <c r="I62" s="252">
        <f t="shared" si="41"/>
        <v>0</v>
      </c>
      <c r="J62" s="252">
        <f t="shared" si="41"/>
        <v>0</v>
      </c>
      <c r="K62" s="252">
        <f>+K59+K54+K49</f>
        <v>0</v>
      </c>
      <c r="L62" s="252">
        <f>+L59+L54+L49</f>
        <v>0</v>
      </c>
      <c r="M62" s="296">
        <f t="shared" si="0"/>
        <v>0</v>
      </c>
      <c r="N62" s="252">
        <f>SUM(N46,N47,N48,N52,N53,N54,N57,N58,N59)</f>
        <v>0</v>
      </c>
      <c r="O62" s="252">
        <f t="shared" si="42"/>
        <v>0</v>
      </c>
      <c r="P62" s="252">
        <f t="shared" si="42"/>
        <v>0</v>
      </c>
      <c r="Q62" s="252">
        <f t="shared" si="42"/>
        <v>0</v>
      </c>
      <c r="R62" s="252">
        <f>+R59+R54+R49</f>
        <v>0</v>
      </c>
      <c r="S62" s="252">
        <f t="shared" si="43"/>
        <v>0</v>
      </c>
      <c r="T62" s="252">
        <f t="shared" si="43"/>
        <v>0</v>
      </c>
      <c r="U62" s="252">
        <f t="shared" si="43"/>
        <v>0</v>
      </c>
      <c r="V62" s="252">
        <f t="shared" si="43"/>
        <v>0</v>
      </c>
      <c r="W62" s="252">
        <f t="shared" si="43"/>
        <v>0</v>
      </c>
      <c r="X62" s="252">
        <f t="shared" si="43"/>
        <v>0</v>
      </c>
      <c r="Y62" s="252">
        <f t="shared" si="43"/>
        <v>0</v>
      </c>
      <c r="Z62" s="296">
        <f t="shared" si="1"/>
        <v>0</v>
      </c>
      <c r="AA62" s="252">
        <f t="shared" si="44"/>
        <v>0</v>
      </c>
      <c r="AB62" s="252">
        <f t="shared" si="44"/>
        <v>0</v>
      </c>
      <c r="AC62" s="252">
        <f t="shared" si="44"/>
        <v>0</v>
      </c>
      <c r="AD62" s="252">
        <f t="shared" si="44"/>
        <v>240000</v>
      </c>
      <c r="AE62" s="252">
        <f t="shared" si="44"/>
        <v>240000</v>
      </c>
      <c r="AF62" s="252">
        <f t="shared" si="44"/>
        <v>240000</v>
      </c>
      <c r="AG62" s="252">
        <f t="shared" si="44"/>
        <v>180000</v>
      </c>
      <c r="AH62" s="252">
        <f t="shared" si="44"/>
        <v>240000</v>
      </c>
      <c r="AI62" s="252">
        <f t="shared" si="44"/>
        <v>240000</v>
      </c>
      <c r="AJ62" s="252">
        <f t="shared" si="44"/>
        <v>240000</v>
      </c>
      <c r="AK62" s="252">
        <f t="shared" si="44"/>
        <v>180000</v>
      </c>
      <c r="AL62" s="252">
        <f t="shared" si="44"/>
        <v>0</v>
      </c>
      <c r="AM62" s="296">
        <f t="shared" si="2"/>
        <v>1800000</v>
      </c>
      <c r="AN62" s="238"/>
      <c r="AO62" s="238"/>
      <c r="AP62" s="238"/>
      <c r="AQ62" s="238"/>
      <c r="AR62" s="238"/>
    </row>
    <row r="63" spans="1:44" s="213" customFormat="1" ht="19">
      <c r="A63" s="277" t="s">
        <v>250</v>
      </c>
      <c r="B63" s="278"/>
      <c r="C63" s="278"/>
      <c r="D63" s="279">
        <f t="shared" ref="D63:L63" si="45">+D40+D20+D60</f>
        <v>110000</v>
      </c>
      <c r="E63" s="279">
        <f t="shared" si="45"/>
        <v>0</v>
      </c>
      <c r="F63" s="279">
        <f t="shared" si="45"/>
        <v>90000</v>
      </c>
      <c r="G63" s="279">
        <f t="shared" si="45"/>
        <v>0</v>
      </c>
      <c r="H63" s="279">
        <f t="shared" si="45"/>
        <v>0</v>
      </c>
      <c r="I63" s="279">
        <f t="shared" si="45"/>
        <v>0</v>
      </c>
      <c r="J63" s="279">
        <f t="shared" si="45"/>
        <v>880000</v>
      </c>
      <c r="K63" s="279">
        <f t="shared" si="45"/>
        <v>0</v>
      </c>
      <c r="L63" s="279">
        <f t="shared" si="45"/>
        <v>0</v>
      </c>
      <c r="M63" s="299">
        <f t="shared" si="0"/>
        <v>1080000</v>
      </c>
      <c r="N63" s="279">
        <f t="shared" ref="N63:Y63" si="46">+N40+N20+N60</f>
        <v>0</v>
      </c>
      <c r="O63" s="279">
        <f t="shared" si="46"/>
        <v>0</v>
      </c>
      <c r="P63" s="279">
        <f t="shared" si="46"/>
        <v>0</v>
      </c>
      <c r="Q63" s="279">
        <f t="shared" si="46"/>
        <v>0</v>
      </c>
      <c r="R63" s="279">
        <f t="shared" si="46"/>
        <v>0</v>
      </c>
      <c r="S63" s="279">
        <f t="shared" si="46"/>
        <v>0</v>
      </c>
      <c r="T63" s="279">
        <f t="shared" si="46"/>
        <v>0</v>
      </c>
      <c r="U63" s="279">
        <f t="shared" si="46"/>
        <v>0</v>
      </c>
      <c r="V63" s="279">
        <f t="shared" si="46"/>
        <v>0</v>
      </c>
      <c r="W63" s="279">
        <f t="shared" si="46"/>
        <v>1450000</v>
      </c>
      <c r="X63" s="279">
        <f t="shared" si="46"/>
        <v>0</v>
      </c>
      <c r="Y63" s="279">
        <f t="shared" si="46"/>
        <v>0</v>
      </c>
      <c r="Z63" s="299">
        <f t="shared" si="1"/>
        <v>1450000</v>
      </c>
      <c r="AA63" s="279">
        <f t="shared" ref="AA63:AL63" si="47">+AA40+AA20+AA60</f>
        <v>0</v>
      </c>
      <c r="AB63" s="279">
        <f t="shared" si="47"/>
        <v>0</v>
      </c>
      <c r="AC63" s="279">
        <f t="shared" si="47"/>
        <v>0</v>
      </c>
      <c r="AD63" s="279">
        <f t="shared" si="47"/>
        <v>0</v>
      </c>
      <c r="AE63" s="279">
        <f t="shared" si="47"/>
        <v>0</v>
      </c>
      <c r="AF63" s="279">
        <f t="shared" si="47"/>
        <v>0</v>
      </c>
      <c r="AG63" s="279">
        <f t="shared" si="47"/>
        <v>0</v>
      </c>
      <c r="AH63" s="279">
        <f t="shared" si="47"/>
        <v>0</v>
      </c>
      <c r="AI63" s="279">
        <f t="shared" si="47"/>
        <v>0</v>
      </c>
      <c r="AJ63" s="279">
        <f t="shared" si="47"/>
        <v>-20000</v>
      </c>
      <c r="AK63" s="279">
        <f t="shared" si="47"/>
        <v>0</v>
      </c>
      <c r="AL63" s="279">
        <f t="shared" si="47"/>
        <v>0</v>
      </c>
      <c r="AM63" s="299">
        <f t="shared" si="2"/>
        <v>-20000</v>
      </c>
      <c r="AN63" s="238"/>
      <c r="AO63" s="238"/>
      <c r="AP63" s="238"/>
      <c r="AQ63" s="238"/>
      <c r="AR63" s="238"/>
    </row>
    <row r="64" spans="1:44" s="282" customFormat="1" ht="22" thickBot="1">
      <c r="A64" s="277" t="s">
        <v>251</v>
      </c>
      <c r="B64" s="280"/>
      <c r="C64" s="280"/>
      <c r="D64" s="279">
        <f t="shared" ref="D64:L64" si="48">+D41+D21+D61</f>
        <v>0</v>
      </c>
      <c r="E64" s="279">
        <f t="shared" si="48"/>
        <v>0</v>
      </c>
      <c r="F64" s="279">
        <f t="shared" si="48"/>
        <v>0</v>
      </c>
      <c r="G64" s="279">
        <f t="shared" si="48"/>
        <v>0</v>
      </c>
      <c r="H64" s="279">
        <f t="shared" si="48"/>
        <v>0</v>
      </c>
      <c r="I64" s="279">
        <f t="shared" si="48"/>
        <v>0</v>
      </c>
      <c r="J64" s="279">
        <f t="shared" si="48"/>
        <v>0</v>
      </c>
      <c r="K64" s="279">
        <f t="shared" si="48"/>
        <v>117000</v>
      </c>
      <c r="L64" s="279">
        <f t="shared" si="48"/>
        <v>222000</v>
      </c>
      <c r="M64" s="296">
        <f t="shared" si="0"/>
        <v>339000</v>
      </c>
      <c r="N64" s="279">
        <f t="shared" ref="N64:AL64" si="49">SUM(N21,N41,N61)</f>
        <v>117000</v>
      </c>
      <c r="O64" s="279">
        <f t="shared" si="49"/>
        <v>12000</v>
      </c>
      <c r="P64" s="279">
        <f t="shared" si="49"/>
        <v>12000</v>
      </c>
      <c r="Q64" s="279">
        <f t="shared" si="49"/>
        <v>12000</v>
      </c>
      <c r="R64" s="279">
        <f t="shared" si="49"/>
        <v>222000</v>
      </c>
      <c r="S64" s="279">
        <f t="shared" si="49"/>
        <v>264000</v>
      </c>
      <c r="T64" s="279">
        <f t="shared" si="49"/>
        <v>264000</v>
      </c>
      <c r="U64" s="279">
        <f t="shared" si="49"/>
        <v>264000</v>
      </c>
      <c r="V64" s="279">
        <f t="shared" si="49"/>
        <v>316500</v>
      </c>
      <c r="W64" s="279">
        <f t="shared" si="49"/>
        <v>316500</v>
      </c>
      <c r="X64" s="279">
        <f t="shared" si="49"/>
        <v>264000</v>
      </c>
      <c r="Y64" s="279">
        <f t="shared" si="49"/>
        <v>264000</v>
      </c>
      <c r="Z64" s="296">
        <f t="shared" si="1"/>
        <v>2328000</v>
      </c>
      <c r="AA64" s="279">
        <f t="shared" si="49"/>
        <v>159000</v>
      </c>
      <c r="AB64" s="279">
        <f t="shared" si="49"/>
        <v>54000</v>
      </c>
      <c r="AC64" s="279">
        <f t="shared" si="49"/>
        <v>54000</v>
      </c>
      <c r="AD64" s="279">
        <f t="shared" si="49"/>
        <v>534000</v>
      </c>
      <c r="AE64" s="279">
        <f t="shared" si="49"/>
        <v>534000</v>
      </c>
      <c r="AF64" s="279">
        <f t="shared" si="49"/>
        <v>534000</v>
      </c>
      <c r="AG64" s="279">
        <f t="shared" si="49"/>
        <v>429000</v>
      </c>
      <c r="AH64" s="279">
        <f t="shared" si="49"/>
        <v>534000</v>
      </c>
      <c r="AI64" s="279">
        <f t="shared" si="49"/>
        <v>534000</v>
      </c>
      <c r="AJ64" s="279">
        <f t="shared" si="49"/>
        <v>534000</v>
      </c>
      <c r="AK64" s="279">
        <f t="shared" si="49"/>
        <v>417000</v>
      </c>
      <c r="AL64" s="279">
        <f t="shared" si="49"/>
        <v>102000</v>
      </c>
      <c r="AM64" s="296">
        <f t="shared" si="2"/>
        <v>4419000</v>
      </c>
      <c r="AN64" s="238"/>
      <c r="AO64" s="281"/>
      <c r="AP64" s="281"/>
      <c r="AQ64" s="281"/>
      <c r="AR64" s="281"/>
    </row>
    <row r="65" spans="1:44" s="282" customFormat="1" ht="22" thickBot="1">
      <c r="A65" s="277" t="s">
        <v>269</v>
      </c>
      <c r="B65" s="280"/>
      <c r="C65" s="280"/>
      <c r="D65" s="279">
        <f t="shared" ref="D65:L65" si="50">+D42+D22+D62</f>
        <v>0</v>
      </c>
      <c r="E65" s="279">
        <f t="shared" si="50"/>
        <v>0</v>
      </c>
      <c r="F65" s="279">
        <f t="shared" si="50"/>
        <v>0</v>
      </c>
      <c r="G65" s="279">
        <f t="shared" si="50"/>
        <v>0</v>
      </c>
      <c r="H65" s="279">
        <f t="shared" si="50"/>
        <v>0</v>
      </c>
      <c r="I65" s="279">
        <f t="shared" si="50"/>
        <v>0</v>
      </c>
      <c r="J65" s="279">
        <f t="shared" si="50"/>
        <v>0</v>
      </c>
      <c r="K65" s="279">
        <f t="shared" si="50"/>
        <v>60000</v>
      </c>
      <c r="L65" s="279">
        <f t="shared" si="50"/>
        <v>120000</v>
      </c>
      <c r="M65" s="296">
        <f t="shared" si="0"/>
        <v>180000</v>
      </c>
      <c r="N65" s="279">
        <f t="shared" ref="N65:Y65" si="51">+N42+N22+N62</f>
        <v>60000</v>
      </c>
      <c r="O65" s="279">
        <f t="shared" si="51"/>
        <v>0</v>
      </c>
      <c r="P65" s="279">
        <f t="shared" si="51"/>
        <v>0</v>
      </c>
      <c r="Q65" s="279">
        <f t="shared" si="51"/>
        <v>0</v>
      </c>
      <c r="R65" s="279">
        <f t="shared" si="51"/>
        <v>120000</v>
      </c>
      <c r="S65" s="279">
        <f t="shared" si="51"/>
        <v>92000</v>
      </c>
      <c r="T65" s="279">
        <f t="shared" si="51"/>
        <v>120000</v>
      </c>
      <c r="U65" s="279">
        <f t="shared" si="51"/>
        <v>120000</v>
      </c>
      <c r="V65" s="279">
        <f t="shared" si="51"/>
        <v>150000</v>
      </c>
      <c r="W65" s="279">
        <f t="shared" si="51"/>
        <v>150000</v>
      </c>
      <c r="X65" s="279">
        <f t="shared" si="51"/>
        <v>120000</v>
      </c>
      <c r="Y65" s="279">
        <f t="shared" si="51"/>
        <v>120000</v>
      </c>
      <c r="Z65" s="296">
        <f t="shared" si="1"/>
        <v>1052000</v>
      </c>
      <c r="AA65" s="279">
        <f t="shared" ref="AA65:AL65" si="52">+AA42+AA22+AA62</f>
        <v>60000</v>
      </c>
      <c r="AB65" s="279">
        <f t="shared" si="52"/>
        <v>0</v>
      </c>
      <c r="AC65" s="279">
        <f t="shared" si="52"/>
        <v>0</v>
      </c>
      <c r="AD65" s="279">
        <f t="shared" si="52"/>
        <v>240000</v>
      </c>
      <c r="AE65" s="279">
        <f t="shared" si="52"/>
        <v>240000</v>
      </c>
      <c r="AF65" s="279">
        <f t="shared" si="52"/>
        <v>240000</v>
      </c>
      <c r="AG65" s="279">
        <f t="shared" si="52"/>
        <v>180000</v>
      </c>
      <c r="AH65" s="279">
        <f t="shared" si="52"/>
        <v>240000</v>
      </c>
      <c r="AI65" s="279">
        <f t="shared" si="52"/>
        <v>240000</v>
      </c>
      <c r="AJ65" s="279">
        <f t="shared" si="52"/>
        <v>240000</v>
      </c>
      <c r="AK65" s="279">
        <f t="shared" si="52"/>
        <v>180000</v>
      </c>
      <c r="AL65" s="279">
        <f t="shared" si="52"/>
        <v>0</v>
      </c>
      <c r="AM65" s="296">
        <f t="shared" si="2"/>
        <v>1860000</v>
      </c>
      <c r="AN65" s="238"/>
      <c r="AO65" s="281"/>
      <c r="AP65" s="281"/>
      <c r="AQ65" s="281"/>
      <c r="AR65" s="281"/>
    </row>
    <row r="66" spans="1:44" s="282" customFormat="1" ht="22" thickBot="1">
      <c r="A66" s="277" t="s">
        <v>252</v>
      </c>
      <c r="B66" s="280"/>
      <c r="C66" s="280"/>
      <c r="D66" s="279"/>
      <c r="E66" s="279"/>
      <c r="F66" s="279"/>
      <c r="G66" s="279"/>
      <c r="H66" s="279"/>
      <c r="I66" s="279"/>
      <c r="J66" s="279"/>
      <c r="K66" s="279"/>
      <c r="L66" s="279"/>
      <c r="M66" s="296">
        <f>+M7+M12+M17+M27+M32+M37+M47+M52+M57</f>
        <v>50</v>
      </c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96">
        <f>+Z7+Z12+Z17+Z27+Z32+Z37+Z47+Z52+Z57</f>
        <v>250</v>
      </c>
      <c r="AA66" s="279"/>
      <c r="AB66" s="279"/>
      <c r="AC66" s="279"/>
      <c r="AD66" s="279"/>
      <c r="AE66" s="279"/>
      <c r="AF66" s="279"/>
      <c r="AG66" s="279"/>
      <c r="AH66" s="279"/>
      <c r="AI66" s="279"/>
      <c r="AJ66" s="279"/>
      <c r="AK66" s="279"/>
      <c r="AL66" s="279"/>
      <c r="AM66" s="296">
        <f>+AM7+AM12+AM17+AM27+AM32+AM37+AM47+AM52+AM57</f>
        <v>410</v>
      </c>
      <c r="AN66" s="238"/>
      <c r="AO66" s="281"/>
      <c r="AP66" s="281"/>
      <c r="AQ66" s="281"/>
      <c r="AR66" s="281"/>
    </row>
    <row r="67" spans="1:44" ht="20" thickBot="1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13"/>
      <c r="AP67" s="13"/>
      <c r="AQ67" s="13"/>
      <c r="AR67" s="13"/>
    </row>
    <row r="68" spans="1:44" ht="16" thickBot="1">
      <c r="A68"/>
      <c r="B68"/>
      <c r="C68"/>
      <c r="D68"/>
      <c r="E68"/>
      <c r="F68"/>
      <c r="G68"/>
      <c r="H68"/>
      <c r="I68"/>
      <c r="J68"/>
      <c r="K68" t="s">
        <v>270</v>
      </c>
      <c r="M68" s="312">
        <f>+(A10+A15+A30+A35-K12-L12-L17)*A16</f>
        <v>855000</v>
      </c>
      <c r="N68"/>
      <c r="O68"/>
      <c r="P68"/>
      <c r="Q68"/>
      <c r="R68"/>
      <c r="S68"/>
      <c r="T68"/>
      <c r="U68"/>
      <c r="V68"/>
      <c r="W68"/>
      <c r="X68"/>
      <c r="Y68" t="s">
        <v>270</v>
      </c>
      <c r="Z68" s="312">
        <f>+(A55+A50)*A51</f>
        <v>1350000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</row>
    <row r="69" spans="1:44" ht="16" thickBot="1">
      <c r="A69" s="13">
        <v>1080000</v>
      </c>
      <c r="B69" s="13"/>
      <c r="C69" s="13"/>
      <c r="D69" s="13"/>
      <c r="E69" s="13"/>
      <c r="F69" s="13"/>
      <c r="G69" s="13"/>
      <c r="H69" s="13"/>
      <c r="I69" s="13"/>
      <c r="J69" s="13"/>
      <c r="K69" s="13" t="s">
        <v>271</v>
      </c>
      <c r="L69" s="13"/>
      <c r="M69" s="310">
        <f>+D6+J26</f>
        <v>90000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 t="s">
        <v>271</v>
      </c>
      <c r="Z69" s="310">
        <f>+D6+J26+W46</f>
        <v>190000</v>
      </c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314">
        <f>+Z46+J26</f>
        <v>170000</v>
      </c>
      <c r="AN69" s="13"/>
    </row>
    <row r="70" spans="1:44" ht="16" thickBo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313">
        <f>+M68+M69</f>
        <v>945000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313">
        <f>+Z68+Z69</f>
        <v>1540000</v>
      </c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310">
        <f>+AM69</f>
        <v>170000</v>
      </c>
      <c r="AN70" s="13"/>
    </row>
    <row r="71" spans="1:4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</sheetData>
  <mergeCells count="1">
    <mergeCell ref="D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F42E-C2A8-4817-BFB7-8D6DF1E7BFC3}">
  <dimension ref="A1:L19"/>
  <sheetViews>
    <sheetView showGridLines="0" zoomScale="93" workbookViewId="0">
      <selection activeCell="E23" sqref="E23"/>
    </sheetView>
  </sheetViews>
  <sheetFormatPr baseColWidth="10" defaultColWidth="11.5" defaultRowHeight="12"/>
  <cols>
    <col min="1" max="1" width="43" style="145" bestFit="1" customWidth="1"/>
    <col min="2" max="2" width="12.83203125" style="145" bestFit="1" customWidth="1"/>
    <col min="3" max="3" width="12.5" style="145" bestFit="1" customWidth="1"/>
    <col min="4" max="4" width="12.83203125" style="145" bestFit="1" customWidth="1"/>
    <col min="5" max="5" width="11.5" style="145"/>
    <col min="6" max="6" width="22.5" style="145" customWidth="1"/>
    <col min="7" max="7" width="15.6640625" style="145" bestFit="1" customWidth="1"/>
    <col min="8" max="8" width="13.1640625" style="145" bestFit="1" customWidth="1"/>
    <col min="9" max="9" width="10.6640625" style="145" customWidth="1"/>
    <col min="10" max="10" width="13.1640625" style="145" bestFit="1" customWidth="1"/>
    <col min="11" max="11" width="12.1640625" style="145" customWidth="1"/>
    <col min="12" max="12" width="15" style="145" bestFit="1" customWidth="1"/>
    <col min="13" max="13" width="12.1640625" style="145" customWidth="1"/>
    <col min="14" max="16384" width="11.5" style="145"/>
  </cols>
  <sheetData>
    <row r="1" spans="1:12" ht="30.75" customHeight="1" thickBot="1">
      <c r="A1" s="143"/>
      <c r="B1" s="144" t="s">
        <v>80</v>
      </c>
      <c r="C1" s="144" t="s">
        <v>81</v>
      </c>
      <c r="D1" s="144" t="s">
        <v>82</v>
      </c>
      <c r="G1" s="328">
        <v>2019</v>
      </c>
      <c r="H1" s="329"/>
      <c r="I1" s="328">
        <v>2020</v>
      </c>
      <c r="J1" s="330"/>
      <c r="K1" s="331">
        <v>2021</v>
      </c>
      <c r="L1" s="332"/>
    </row>
    <row r="2" spans="1:12" ht="26">
      <c r="A2" s="146" t="s">
        <v>275</v>
      </c>
      <c r="B2" s="147">
        <v>720</v>
      </c>
      <c r="C2" s="147">
        <v>720</v>
      </c>
      <c r="D2" s="147">
        <v>720</v>
      </c>
      <c r="G2" s="164" t="s">
        <v>79</v>
      </c>
      <c r="H2" s="165" t="s">
        <v>76</v>
      </c>
      <c r="I2" s="166" t="s">
        <v>79</v>
      </c>
      <c r="J2" s="165" t="s">
        <v>76</v>
      </c>
      <c r="K2" s="166" t="s">
        <v>79</v>
      </c>
      <c r="L2" s="167" t="s">
        <v>76</v>
      </c>
    </row>
    <row r="3" spans="1:12" ht="13" thickBot="1">
      <c r="A3" s="146" t="s">
        <v>65</v>
      </c>
      <c r="B3" s="148">
        <v>300</v>
      </c>
      <c r="C3" s="148">
        <v>300</v>
      </c>
      <c r="D3" s="148">
        <v>300</v>
      </c>
      <c r="F3" s="154" t="s">
        <v>84</v>
      </c>
      <c r="G3" s="149">
        <v>60</v>
      </c>
      <c r="H3" s="150">
        <f>+B16*G3</f>
        <v>240000</v>
      </c>
      <c r="I3" s="151">
        <f>+'Ventes - product mix'!Z66</f>
        <v>250</v>
      </c>
      <c r="J3" s="152">
        <f>+I3*$C$16</f>
        <v>1000000</v>
      </c>
      <c r="K3" s="151">
        <v>400</v>
      </c>
      <c r="L3" s="153">
        <f>+K3*D16</f>
        <v>1600000</v>
      </c>
    </row>
    <row r="4" spans="1:12" ht="13" thickBot="1">
      <c r="A4" s="146" t="s">
        <v>66</v>
      </c>
      <c r="B4" s="148">
        <v>950</v>
      </c>
      <c r="C4" s="148">
        <v>950</v>
      </c>
      <c r="D4" s="148">
        <v>950</v>
      </c>
      <c r="F4" s="155" t="s">
        <v>221</v>
      </c>
      <c r="G4" s="156">
        <v>0</v>
      </c>
      <c r="H4" s="157">
        <f>+H3</f>
        <v>240000</v>
      </c>
      <c r="I4" s="158">
        <f>SUM(I3:I3)</f>
        <v>250</v>
      </c>
      <c r="J4" s="157">
        <f>SUM(J3:J3)</f>
        <v>1000000</v>
      </c>
      <c r="K4" s="158">
        <f>SUM(K3:K3)</f>
        <v>400</v>
      </c>
      <c r="L4" s="159">
        <f>SUM(L3:L3)</f>
        <v>1600000</v>
      </c>
    </row>
    <row r="5" spans="1:12">
      <c r="A5" s="146" t="s">
        <v>67</v>
      </c>
      <c r="B5" s="148"/>
      <c r="C5" s="148"/>
      <c r="D5" s="148"/>
    </row>
    <row r="6" spans="1:12">
      <c r="A6" s="146" t="s">
        <v>68</v>
      </c>
      <c r="B6" s="148"/>
      <c r="C6" s="148"/>
      <c r="D6" s="148"/>
    </row>
    <row r="7" spans="1:12">
      <c r="A7" s="146" t="s">
        <v>69</v>
      </c>
      <c r="B7" s="148">
        <v>50</v>
      </c>
      <c r="C7" s="148">
        <v>50</v>
      </c>
      <c r="D7" s="148">
        <v>50</v>
      </c>
    </row>
    <row r="8" spans="1:12">
      <c r="A8" s="146" t="s">
        <v>70</v>
      </c>
      <c r="B8" s="148">
        <v>30</v>
      </c>
      <c r="C8" s="148">
        <v>30</v>
      </c>
      <c r="D8" s="148">
        <v>30</v>
      </c>
    </row>
    <row r="9" spans="1:12">
      <c r="A9" s="146" t="s">
        <v>71</v>
      </c>
      <c r="B9" s="148">
        <v>700</v>
      </c>
      <c r="C9" s="148">
        <v>700</v>
      </c>
      <c r="D9" s="148">
        <v>700</v>
      </c>
    </row>
    <row r="10" spans="1:12">
      <c r="A10" s="146" t="s">
        <v>72</v>
      </c>
      <c r="B10" s="148">
        <v>100</v>
      </c>
      <c r="C10" s="148">
        <v>100</v>
      </c>
      <c r="D10" s="148">
        <v>100</v>
      </c>
    </row>
    <row r="11" spans="1:12">
      <c r="A11" s="146" t="s">
        <v>73</v>
      </c>
      <c r="B11" s="148">
        <v>250</v>
      </c>
      <c r="C11" s="148">
        <v>250</v>
      </c>
      <c r="D11" s="148">
        <v>250</v>
      </c>
    </row>
    <row r="12" spans="1:12">
      <c r="A12" s="146" t="s">
        <v>276</v>
      </c>
      <c r="B12" s="148">
        <v>600</v>
      </c>
      <c r="C12" s="148">
        <v>600</v>
      </c>
      <c r="D12" s="148">
        <v>600</v>
      </c>
    </row>
    <row r="13" spans="1:12">
      <c r="A13" s="146" t="s">
        <v>74</v>
      </c>
      <c r="B13" s="148">
        <v>240</v>
      </c>
      <c r="C13" s="148">
        <v>240</v>
      </c>
      <c r="D13" s="148">
        <v>240</v>
      </c>
    </row>
    <row r="14" spans="1:12">
      <c r="A14" s="146" t="s">
        <v>75</v>
      </c>
      <c r="B14" s="148">
        <v>60</v>
      </c>
      <c r="C14" s="148">
        <v>60</v>
      </c>
      <c r="D14" s="148">
        <v>60</v>
      </c>
    </row>
    <row r="15" spans="1:12" ht="13" thickBot="1">
      <c r="A15" s="160"/>
      <c r="B15" s="161"/>
      <c r="C15" s="161"/>
      <c r="D15" s="161"/>
    </row>
    <row r="16" spans="1:12" ht="13" thickBot="1">
      <c r="A16" s="162"/>
      <c r="B16" s="163">
        <f>SUM(B2:B15)</f>
        <v>4000</v>
      </c>
      <c r="C16" s="163">
        <f>SUM(C2:C15)</f>
        <v>4000</v>
      </c>
      <c r="D16" s="163">
        <f>SUM(D2:D15)</f>
        <v>4000</v>
      </c>
    </row>
    <row r="18" spans="2:2">
      <c r="B18" s="173"/>
    </row>
    <row r="19" spans="2:2">
      <c r="B19" s="172"/>
    </row>
  </sheetData>
  <mergeCells count="3">
    <mergeCell ref="G1:H1"/>
    <mergeCell ref="I1:J1"/>
    <mergeCell ref="K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52D9-4D0E-4C61-B6AE-27C06A1E6DC8}">
  <dimension ref="A1:J34"/>
  <sheetViews>
    <sheetView showGridLines="0" workbookViewId="0">
      <selection activeCell="M41" sqref="M41"/>
    </sheetView>
  </sheetViews>
  <sheetFormatPr baseColWidth="10" defaultRowHeight="15"/>
  <cols>
    <col min="1" max="1" width="25.33203125" customWidth="1"/>
    <col min="2" max="2" width="2.1640625" customWidth="1"/>
    <col min="3" max="3" width="12.1640625" bestFit="1" customWidth="1"/>
    <col min="4" max="4" width="8.83203125" bestFit="1" customWidth="1"/>
    <col min="5" max="5" width="13" bestFit="1" customWidth="1"/>
    <col min="6" max="6" width="9" customWidth="1"/>
    <col min="7" max="7" width="13" bestFit="1" customWidth="1"/>
    <col min="9" max="9" width="14.33203125" bestFit="1" customWidth="1"/>
    <col min="10" max="10" width="4.5" bestFit="1" customWidth="1"/>
  </cols>
  <sheetData>
    <row r="1" spans="1:10">
      <c r="A1" s="16"/>
      <c r="B1" s="21"/>
      <c r="C1" s="20">
        <v>2019</v>
      </c>
      <c r="D1" s="20"/>
      <c r="E1" s="20">
        <v>2020</v>
      </c>
      <c r="F1" s="20"/>
      <c r="G1" s="15">
        <v>2021</v>
      </c>
      <c r="I1" s="175" t="s">
        <v>94</v>
      </c>
      <c r="J1" s="176">
        <v>0.03</v>
      </c>
    </row>
    <row r="2" spans="1:10">
      <c r="A2" s="96" t="s">
        <v>95</v>
      </c>
      <c r="B2" s="93"/>
      <c r="C2" s="94">
        <f>SUM(C3:C15)</f>
        <v>198054</v>
      </c>
      <c r="D2" s="94"/>
      <c r="E2" s="94">
        <f>SUM(E3:E15)</f>
        <v>466000.6</v>
      </c>
      <c r="F2" s="94"/>
      <c r="G2" s="95">
        <f>SUM(G3:G15)</f>
        <v>532425.71</v>
      </c>
      <c r="I2" s="174"/>
      <c r="J2" s="174"/>
    </row>
    <row r="3" spans="1:10">
      <c r="A3" s="22" t="s">
        <v>90</v>
      </c>
      <c r="B3" s="23"/>
      <c r="C3" s="29">
        <v>37406</v>
      </c>
      <c r="D3" s="29"/>
      <c r="E3" s="29">
        <v>38528</v>
      </c>
      <c r="F3" s="29"/>
      <c r="G3" s="30">
        <v>39684</v>
      </c>
      <c r="I3" s="177" t="s">
        <v>97</v>
      </c>
      <c r="J3" s="178">
        <v>0.42</v>
      </c>
    </row>
    <row r="4" spans="1:10">
      <c r="A4" s="24" t="s">
        <v>277</v>
      </c>
      <c r="B4" s="25"/>
      <c r="C4" s="31">
        <v>37488</v>
      </c>
      <c r="D4" s="31"/>
      <c r="E4" s="31">
        <v>38612.6</v>
      </c>
      <c r="F4" s="31"/>
      <c r="G4" s="32">
        <v>39770.9</v>
      </c>
    </row>
    <row r="5" spans="1:10">
      <c r="A5" s="24" t="s">
        <v>278</v>
      </c>
      <c r="B5" s="25"/>
      <c r="C5" s="31">
        <v>42600</v>
      </c>
      <c r="D5" s="31"/>
      <c r="E5" s="31">
        <v>43878</v>
      </c>
      <c r="F5" s="31"/>
      <c r="G5" s="32">
        <v>45194</v>
      </c>
    </row>
    <row r="6" spans="1:10">
      <c r="A6" s="24" t="s">
        <v>91</v>
      </c>
      <c r="B6" s="25"/>
      <c r="C6" s="31"/>
      <c r="D6" s="31"/>
      <c r="E6" s="31">
        <v>26327</v>
      </c>
      <c r="F6" s="31"/>
      <c r="G6" s="32">
        <f t="shared" ref="G6:G15" si="0">+E6*(1+$J$1)</f>
        <v>27116.81</v>
      </c>
    </row>
    <row r="7" spans="1:10">
      <c r="A7" s="24" t="s">
        <v>279</v>
      </c>
      <c r="B7" s="25"/>
      <c r="C7" s="31"/>
      <c r="D7" s="31"/>
      <c r="E7" s="31">
        <v>25560</v>
      </c>
      <c r="F7" s="31"/>
      <c r="G7" s="32">
        <v>26327</v>
      </c>
    </row>
    <row r="8" spans="1:10">
      <c r="A8" s="24" t="s">
        <v>280</v>
      </c>
      <c r="B8" s="25"/>
      <c r="C8" s="31"/>
      <c r="D8" s="31"/>
      <c r="E8" s="31">
        <v>37488</v>
      </c>
      <c r="F8" s="31"/>
      <c r="G8" s="32">
        <v>38613</v>
      </c>
    </row>
    <row r="9" spans="1:10">
      <c r="A9" s="24" t="s">
        <v>281</v>
      </c>
      <c r="B9" s="25"/>
      <c r="C9" s="31"/>
      <c r="D9" s="31"/>
      <c r="E9" s="31">
        <v>59640</v>
      </c>
      <c r="F9" s="31"/>
      <c r="G9" s="32">
        <v>61429</v>
      </c>
    </row>
    <row r="10" spans="1:10">
      <c r="A10" s="24" t="s">
        <v>282</v>
      </c>
      <c r="B10" s="25"/>
      <c r="C10" s="31"/>
      <c r="D10" s="31"/>
      <c r="E10" s="31">
        <v>59640</v>
      </c>
      <c r="F10" s="31"/>
      <c r="G10" s="32">
        <v>59640</v>
      </c>
    </row>
    <row r="11" spans="1:10">
      <c r="A11" s="24" t="s">
        <v>91</v>
      </c>
      <c r="B11" s="25"/>
      <c r="C11" s="31">
        <v>25560</v>
      </c>
      <c r="D11" s="31"/>
      <c r="E11" s="31">
        <v>26327</v>
      </c>
      <c r="F11" s="31"/>
      <c r="G11" s="32">
        <v>27117</v>
      </c>
    </row>
    <row r="12" spans="1:10">
      <c r="A12" s="24" t="s">
        <v>91</v>
      </c>
      <c r="B12" s="25"/>
      <c r="C12" s="31"/>
      <c r="D12" s="31"/>
      <c r="E12" s="31"/>
      <c r="F12" s="31"/>
      <c r="G12" s="32">
        <v>27117</v>
      </c>
    </row>
    <row r="13" spans="1:10">
      <c r="A13" s="24" t="s">
        <v>91</v>
      </c>
      <c r="B13" s="25"/>
      <c r="C13" s="31"/>
      <c r="D13" s="31"/>
      <c r="E13" s="31"/>
      <c r="F13" s="31"/>
      <c r="G13" s="32">
        <v>27117</v>
      </c>
    </row>
    <row r="14" spans="1:10">
      <c r="A14" s="24" t="s">
        <v>92</v>
      </c>
      <c r="B14" s="25"/>
      <c r="C14" s="31"/>
      <c r="D14" s="31"/>
      <c r="E14" s="31">
        <v>55000</v>
      </c>
      <c r="F14" s="31"/>
      <c r="G14" s="32">
        <f t="shared" si="0"/>
        <v>56650</v>
      </c>
    </row>
    <row r="15" spans="1:10">
      <c r="A15" s="26" t="s">
        <v>93</v>
      </c>
      <c r="B15" s="27"/>
      <c r="C15" s="33">
        <v>55000</v>
      </c>
      <c r="D15" s="33"/>
      <c r="E15" s="33">
        <v>55000</v>
      </c>
      <c r="F15" s="33"/>
      <c r="G15" s="34">
        <f t="shared" si="0"/>
        <v>56650</v>
      </c>
    </row>
    <row r="16" spans="1:10">
      <c r="C16" s="13"/>
      <c r="D16" s="13"/>
      <c r="E16" s="13"/>
      <c r="F16" s="13"/>
      <c r="G16" s="13"/>
    </row>
    <row r="17" spans="1:8">
      <c r="C17" s="13"/>
      <c r="D17" s="13"/>
      <c r="E17" s="13"/>
      <c r="F17" s="13"/>
      <c r="G17" s="13"/>
    </row>
    <row r="18" spans="1:8">
      <c r="A18" s="96" t="s">
        <v>96</v>
      </c>
      <c r="B18" s="93"/>
      <c r="C18" s="94">
        <f>SUM(C19:C31)</f>
        <v>83182.679999999993</v>
      </c>
      <c r="D18" s="94"/>
      <c r="E18" s="94">
        <f>SUM(E19:E31)</f>
        <v>206777.592</v>
      </c>
      <c r="F18" s="94"/>
      <c r="G18" s="95">
        <f>SUM(G19:G31)</f>
        <v>223618.71840000001</v>
      </c>
    </row>
    <row r="19" spans="1:8">
      <c r="A19" s="22" t="s">
        <v>90</v>
      </c>
      <c r="B19" s="23"/>
      <c r="C19" s="29">
        <f>+C3*$J$3</f>
        <v>15710.519999999999</v>
      </c>
      <c r="D19" s="29"/>
      <c r="E19" s="29">
        <f>+E3*$J$3</f>
        <v>16181.76</v>
      </c>
      <c r="F19" s="29"/>
      <c r="G19" s="35">
        <f>+G3*$J$3</f>
        <v>16667.28</v>
      </c>
      <c r="H19" s="28"/>
    </row>
    <row r="20" spans="1:8">
      <c r="A20" s="24" t="s">
        <v>283</v>
      </c>
      <c r="B20" s="25"/>
      <c r="C20" s="31">
        <f>+C4*$J$3</f>
        <v>15744.96</v>
      </c>
      <c r="D20" s="31"/>
      <c r="E20" s="31">
        <f>+E4*$J$3</f>
        <v>16217.291999999999</v>
      </c>
      <c r="F20" s="31"/>
      <c r="G20" s="36">
        <f>+G4*$J$3</f>
        <v>16703.777999999998</v>
      </c>
      <c r="H20" s="28"/>
    </row>
    <row r="21" spans="1:8">
      <c r="A21" s="24" t="s">
        <v>278</v>
      </c>
      <c r="B21" s="25"/>
      <c r="C21" s="31">
        <f>+C5*$J$3</f>
        <v>17892</v>
      </c>
      <c r="D21" s="31"/>
      <c r="E21" s="31">
        <f>+E5*$J$3</f>
        <v>18428.759999999998</v>
      </c>
      <c r="F21" s="31"/>
      <c r="G21" s="36">
        <f>+G5*$J$3</f>
        <v>18981.48</v>
      </c>
      <c r="H21" s="28"/>
    </row>
    <row r="22" spans="1:8">
      <c r="A22" s="24" t="s">
        <v>91</v>
      </c>
      <c r="B22" s="25"/>
      <c r="C22" s="31">
        <f>+C6*$J$3</f>
        <v>0</v>
      </c>
      <c r="D22" s="31"/>
      <c r="E22" s="31">
        <f>+E6*$J$3</f>
        <v>11057.34</v>
      </c>
      <c r="F22" s="31"/>
      <c r="G22" s="36">
        <f>+G6*$J$3</f>
        <v>11389.0602</v>
      </c>
      <c r="H22" s="28"/>
    </row>
    <row r="23" spans="1:8">
      <c r="A23" s="24" t="s">
        <v>279</v>
      </c>
      <c r="B23" s="25"/>
      <c r="C23" s="31">
        <f>+C7*$J$3</f>
        <v>0</v>
      </c>
      <c r="D23" s="31"/>
      <c r="E23" s="31">
        <f>+E7*$J$3</f>
        <v>10735.199999999999</v>
      </c>
      <c r="F23" s="31"/>
      <c r="G23" s="36">
        <f>+G7*$J$3</f>
        <v>11057.34</v>
      </c>
      <c r="H23" s="28"/>
    </row>
    <row r="24" spans="1:8">
      <c r="A24" s="24" t="s">
        <v>280</v>
      </c>
      <c r="B24" s="25"/>
      <c r="C24" s="31">
        <f>+C8*$J$3</f>
        <v>0</v>
      </c>
      <c r="D24" s="31"/>
      <c r="E24" s="31">
        <f>+E8*$J$3</f>
        <v>15744.96</v>
      </c>
      <c r="F24" s="31"/>
      <c r="G24" s="36">
        <f>+G8*$J$3</f>
        <v>16217.46</v>
      </c>
      <c r="H24" s="28"/>
    </row>
    <row r="25" spans="1:8">
      <c r="A25" s="24" t="s">
        <v>281</v>
      </c>
      <c r="B25" s="25"/>
      <c r="C25" s="31">
        <f>+C9*$J$3</f>
        <v>0</v>
      </c>
      <c r="D25" s="31"/>
      <c r="E25" s="31">
        <f>+E9*$J$3</f>
        <v>25048.799999999999</v>
      </c>
      <c r="F25" s="31"/>
      <c r="G25" s="36">
        <f>+G9*$J$3</f>
        <v>25800.18</v>
      </c>
      <c r="H25" s="28"/>
    </row>
    <row r="26" spans="1:8">
      <c r="A26" s="24" t="s">
        <v>282</v>
      </c>
      <c r="B26" s="25"/>
      <c r="C26" s="31">
        <f>+C10*$J$3</f>
        <v>0</v>
      </c>
      <c r="D26" s="31"/>
      <c r="E26" s="31">
        <f>+E10*$J$3</f>
        <v>25048.799999999999</v>
      </c>
      <c r="F26" s="31"/>
      <c r="G26" s="36">
        <f>+G10*$J$3</f>
        <v>25048.799999999999</v>
      </c>
      <c r="H26" s="28"/>
    </row>
    <row r="27" spans="1:8">
      <c r="A27" s="24" t="s">
        <v>91</v>
      </c>
      <c r="B27" s="25"/>
      <c r="C27" s="31">
        <f>+C11*$J$3</f>
        <v>10735.199999999999</v>
      </c>
      <c r="D27" s="31"/>
      <c r="E27" s="31">
        <f>+E11*$J$3</f>
        <v>11057.34</v>
      </c>
      <c r="F27" s="31"/>
      <c r="G27" s="36">
        <f>+G11*$J$3</f>
        <v>11389.14</v>
      </c>
      <c r="H27" s="28"/>
    </row>
    <row r="28" spans="1:8">
      <c r="A28" s="24" t="s">
        <v>91</v>
      </c>
      <c r="B28" s="25"/>
      <c r="C28" s="31">
        <f>+C12*$J$3</f>
        <v>0</v>
      </c>
      <c r="D28" s="31"/>
      <c r="E28" s="31">
        <f>+E12*$J$3</f>
        <v>0</v>
      </c>
      <c r="F28" s="31"/>
      <c r="G28" s="36">
        <f>+G12*$J$3</f>
        <v>11389.14</v>
      </c>
      <c r="H28" s="28"/>
    </row>
    <row r="29" spans="1:8">
      <c r="A29" s="24" t="s">
        <v>91</v>
      </c>
      <c r="B29" s="25"/>
      <c r="C29" s="31">
        <f>+C6*$J$3</f>
        <v>0</v>
      </c>
      <c r="D29" s="31"/>
      <c r="E29" s="31">
        <f>+E6*$J$3</f>
        <v>11057.34</v>
      </c>
      <c r="F29" s="31"/>
      <c r="G29" s="36">
        <f>+G6*$J$3</f>
        <v>11389.0602</v>
      </c>
      <c r="H29" s="28"/>
    </row>
    <row r="30" spans="1:8">
      <c r="A30" s="24" t="s">
        <v>92</v>
      </c>
      <c r="B30" s="25"/>
      <c r="C30" s="31">
        <f t="shared" ref="C30" si="1">+C14*$J$3</f>
        <v>0</v>
      </c>
      <c r="D30" s="31"/>
      <c r="E30" s="31">
        <f t="shared" ref="E30:E31" si="2">+E14*$J$3</f>
        <v>23100</v>
      </c>
      <c r="F30" s="31"/>
      <c r="G30" s="36">
        <f t="shared" ref="G30:G31" si="3">+G14*$J$3</f>
        <v>23793</v>
      </c>
      <c r="H30" s="28"/>
    </row>
    <row r="31" spans="1:8">
      <c r="A31" s="26" t="s">
        <v>93</v>
      </c>
      <c r="B31" s="27"/>
      <c r="C31" s="33">
        <f>+C15*$J$3</f>
        <v>23100</v>
      </c>
      <c r="D31" s="33"/>
      <c r="E31" s="33">
        <f t="shared" si="2"/>
        <v>23100</v>
      </c>
      <c r="F31" s="33"/>
      <c r="G31" s="37">
        <f t="shared" si="3"/>
        <v>23793</v>
      </c>
      <c r="H31" s="28"/>
    </row>
    <row r="32" spans="1:8">
      <c r="C32" s="13"/>
      <c r="D32" s="13"/>
      <c r="E32" s="13"/>
      <c r="F32" s="13"/>
      <c r="G32" s="13"/>
    </row>
    <row r="33" spans="3:7">
      <c r="C33" s="13"/>
      <c r="D33" s="13"/>
      <c r="E33" s="13"/>
      <c r="F33" s="13"/>
      <c r="G33" s="13"/>
    </row>
    <row r="34" spans="3:7">
      <c r="C34" s="13"/>
      <c r="D34" s="13"/>
      <c r="E34" s="13"/>
      <c r="F34" s="13"/>
      <c r="G34" s="13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D8F2-F91B-41AA-95AD-229B87494CAD}">
  <dimension ref="A1:G33"/>
  <sheetViews>
    <sheetView showGridLines="0" tabSelected="1" workbookViewId="0">
      <selection activeCell="B12" sqref="B12"/>
    </sheetView>
  </sheetViews>
  <sheetFormatPr baseColWidth="10" defaultRowHeight="15"/>
  <cols>
    <col min="1" max="1" width="30.83203125" customWidth="1"/>
    <col min="2" max="2" width="10.6640625" bestFit="1" customWidth="1"/>
    <col min="3" max="3" width="10.6640625" customWidth="1"/>
    <col min="4" max="4" width="10.6640625" bestFit="1" customWidth="1"/>
    <col min="5" max="5" width="10.6640625" customWidth="1"/>
    <col min="6" max="6" width="12.5" bestFit="1" customWidth="1"/>
    <col min="7" max="7" width="7.5" bestFit="1" customWidth="1"/>
  </cols>
  <sheetData>
    <row r="1" spans="1:7">
      <c r="A1" s="16"/>
      <c r="B1" s="20">
        <v>2018</v>
      </c>
      <c r="C1" s="20"/>
      <c r="D1" s="20">
        <v>2019</v>
      </c>
      <c r="E1" s="20"/>
      <c r="F1" s="15">
        <v>2020</v>
      </c>
    </row>
    <row r="2" spans="1:7">
      <c r="A2" s="179" t="s">
        <v>9</v>
      </c>
      <c r="B2" s="180">
        <f>SUM(B3:B8)</f>
        <v>11506</v>
      </c>
      <c r="C2" s="180"/>
      <c r="D2" s="180">
        <f>SUM(D3:D8)</f>
        <v>19334</v>
      </c>
      <c r="E2" s="180"/>
      <c r="F2" s="181">
        <f>SUM(F3:F8)</f>
        <v>23494</v>
      </c>
    </row>
    <row r="3" spans="1:7">
      <c r="A3" s="67" t="s">
        <v>10</v>
      </c>
      <c r="B3" s="168">
        <v>1900</v>
      </c>
      <c r="C3" s="168"/>
      <c r="D3" s="168">
        <v>3050</v>
      </c>
      <c r="E3" s="168"/>
      <c r="F3" s="169">
        <v>3142</v>
      </c>
      <c r="G3" s="19"/>
    </row>
    <row r="4" spans="1:7">
      <c r="A4" s="24" t="s">
        <v>11</v>
      </c>
      <c r="B4" s="168">
        <v>606</v>
      </c>
      <c r="C4" s="168"/>
      <c r="D4" s="168">
        <v>650</v>
      </c>
      <c r="E4" s="168"/>
      <c r="F4" s="169">
        <v>750</v>
      </c>
      <c r="G4" s="19"/>
    </row>
    <row r="5" spans="1:7">
      <c r="A5" s="67" t="s">
        <v>12</v>
      </c>
      <c r="B5" s="168">
        <f>200*5*2</f>
        <v>2000</v>
      </c>
      <c r="C5" s="168"/>
      <c r="D5" s="168">
        <f>200*12*2</f>
        <v>4800</v>
      </c>
      <c r="E5" s="168"/>
      <c r="F5" s="169">
        <v>6506</v>
      </c>
      <c r="G5" s="19"/>
    </row>
    <row r="6" spans="1:7">
      <c r="A6" s="24" t="s">
        <v>13</v>
      </c>
      <c r="B6" s="168">
        <v>4000</v>
      </c>
      <c r="C6" s="168"/>
      <c r="D6" s="168">
        <v>6500</v>
      </c>
      <c r="E6" s="168"/>
      <c r="F6" s="169">
        <v>8000</v>
      </c>
      <c r="G6" s="19"/>
    </row>
    <row r="7" spans="1:7">
      <c r="A7" s="67" t="s">
        <v>14</v>
      </c>
      <c r="B7" s="168">
        <v>2000</v>
      </c>
      <c r="C7" s="168"/>
      <c r="D7" s="168">
        <v>2500</v>
      </c>
      <c r="E7" s="168"/>
      <c r="F7" s="169">
        <v>3000</v>
      </c>
      <c r="G7" s="19"/>
    </row>
    <row r="8" spans="1:7">
      <c r="A8" s="24" t="s">
        <v>15</v>
      </c>
      <c r="B8" s="168">
        <v>1000</v>
      </c>
      <c r="C8" s="168"/>
      <c r="D8" s="168">
        <v>1834</v>
      </c>
      <c r="E8" s="168"/>
      <c r="F8" s="169">
        <v>2096</v>
      </c>
      <c r="G8" s="19"/>
    </row>
    <row r="9" spans="1:7">
      <c r="A9" s="179" t="s">
        <v>16</v>
      </c>
      <c r="B9" s="182">
        <f>SUM(B10:B28)</f>
        <v>402004</v>
      </c>
      <c r="C9" s="182"/>
      <c r="D9" s="182">
        <f>SUM(D10:D28)</f>
        <v>785450</v>
      </c>
      <c r="E9" s="182"/>
      <c r="F9" s="183">
        <f>SUM(F10:F28)</f>
        <v>1072286</v>
      </c>
    </row>
    <row r="10" spans="1:7" s="188" customFormat="1" ht="4.5" customHeight="1">
      <c r="A10" s="184"/>
      <c r="B10" s="185"/>
      <c r="C10" s="185"/>
      <c r="D10" s="185"/>
      <c r="E10" s="185"/>
      <c r="F10" s="186"/>
    </row>
    <row r="11" spans="1:7" s="188" customFormat="1">
      <c r="A11" s="184" t="s">
        <v>205</v>
      </c>
      <c r="B11" s="185">
        <v>25000</v>
      </c>
      <c r="C11" s="185"/>
      <c r="D11" s="185">
        <v>75000</v>
      </c>
      <c r="E11" s="185"/>
      <c r="F11" s="186">
        <v>90000</v>
      </c>
    </row>
    <row r="12" spans="1:7" s="188" customFormat="1">
      <c r="A12" s="187" t="s">
        <v>206</v>
      </c>
      <c r="B12" s="185">
        <f>1700*4</f>
        <v>6800</v>
      </c>
      <c r="C12" s="185"/>
      <c r="D12" s="185">
        <f>1700*12</f>
        <v>20400</v>
      </c>
      <c r="E12" s="185"/>
      <c r="F12" s="186">
        <v>30986</v>
      </c>
    </row>
    <row r="13" spans="1:7" s="188" customFormat="1">
      <c r="A13" s="184" t="s">
        <v>207</v>
      </c>
      <c r="B13" s="185">
        <f>450*5*2</f>
        <v>4500</v>
      </c>
      <c r="C13" s="185"/>
      <c r="D13" s="185">
        <f>450*12*2</f>
        <v>10800</v>
      </c>
      <c r="E13" s="185"/>
      <c r="F13" s="186">
        <f>+D13</f>
        <v>10800</v>
      </c>
    </row>
    <row r="14" spans="1:7" s="188" customFormat="1">
      <c r="A14" s="187" t="s">
        <v>208</v>
      </c>
      <c r="B14" s="185">
        <v>954</v>
      </c>
      <c r="C14" s="185"/>
      <c r="D14" s="185">
        <v>1500</v>
      </c>
      <c r="E14" s="185"/>
      <c r="F14" s="186">
        <v>1500</v>
      </c>
    </row>
    <row r="15" spans="1:7" s="188" customFormat="1">
      <c r="A15" s="184" t="s">
        <v>209</v>
      </c>
      <c r="B15" s="185">
        <v>2500</v>
      </c>
      <c r="C15" s="185"/>
      <c r="D15" s="185">
        <v>5000</v>
      </c>
      <c r="E15" s="185"/>
      <c r="F15" s="186">
        <v>5500</v>
      </c>
    </row>
    <row r="16" spans="1:7" s="188" customFormat="1">
      <c r="A16" s="187" t="s">
        <v>210</v>
      </c>
      <c r="B16" s="185"/>
      <c r="C16" s="185"/>
      <c r="D16" s="185"/>
      <c r="E16" s="185"/>
      <c r="F16" s="186"/>
    </row>
    <row r="17" spans="1:6" s="188" customFormat="1">
      <c r="A17" s="184" t="s">
        <v>211</v>
      </c>
      <c r="B17" s="185">
        <v>4742</v>
      </c>
      <c r="C17" s="185"/>
      <c r="D17" s="185">
        <v>9000</v>
      </c>
      <c r="E17" s="185"/>
      <c r="F17" s="186">
        <v>12000</v>
      </c>
    </row>
    <row r="18" spans="1:6" s="188" customFormat="1">
      <c r="A18" s="187" t="s">
        <v>212</v>
      </c>
      <c r="B18" s="185">
        <v>6318</v>
      </c>
      <c r="C18" s="185"/>
      <c r="D18" s="185">
        <v>15000</v>
      </c>
      <c r="E18" s="185"/>
      <c r="F18" s="186">
        <v>20000</v>
      </c>
    </row>
    <row r="19" spans="1:6" s="188" customFormat="1">
      <c r="A19" s="184" t="s">
        <v>213</v>
      </c>
      <c r="B19" s="185">
        <v>3159</v>
      </c>
      <c r="C19" s="185"/>
      <c r="D19" s="185">
        <v>5000</v>
      </c>
      <c r="E19" s="185"/>
      <c r="F19" s="186">
        <v>5000</v>
      </c>
    </row>
    <row r="20" spans="1:6" s="188" customFormat="1">
      <c r="A20" s="187" t="s">
        <v>214</v>
      </c>
      <c r="B20" s="185">
        <v>9477</v>
      </c>
      <c r="C20" s="185"/>
      <c r="D20" s="185">
        <v>15000</v>
      </c>
      <c r="E20" s="185"/>
      <c r="F20" s="186">
        <v>15000</v>
      </c>
    </row>
    <row r="21" spans="1:6" s="188" customFormat="1">
      <c r="A21" s="184" t="s">
        <v>267</v>
      </c>
      <c r="B21" s="185">
        <v>150000</v>
      </c>
      <c r="C21" s="185"/>
      <c r="D21" s="185">
        <v>350000</v>
      </c>
      <c r="E21" s="185"/>
      <c r="F21" s="186">
        <v>550000</v>
      </c>
    </row>
    <row r="22" spans="1:6" s="188" customFormat="1">
      <c r="A22" s="184" t="s">
        <v>266</v>
      </c>
      <c r="B22" s="185">
        <v>50000</v>
      </c>
      <c r="C22" s="185"/>
      <c r="D22" s="185">
        <v>100000</v>
      </c>
      <c r="E22" s="185"/>
      <c r="F22" s="186">
        <v>100000</v>
      </c>
    </row>
    <row r="23" spans="1:6" s="188" customFormat="1">
      <c r="A23" s="187" t="s">
        <v>265</v>
      </c>
      <c r="B23" s="185">
        <v>120000</v>
      </c>
      <c r="C23" s="185"/>
      <c r="D23" s="185">
        <v>150000</v>
      </c>
      <c r="E23" s="185"/>
      <c r="F23" s="186">
        <v>200000</v>
      </c>
    </row>
    <row r="24" spans="1:6" s="188" customFormat="1">
      <c r="A24" s="184" t="s">
        <v>215</v>
      </c>
      <c r="B24" s="185">
        <v>15000</v>
      </c>
      <c r="C24" s="185"/>
      <c r="D24" s="185">
        <v>18000</v>
      </c>
      <c r="E24" s="185"/>
      <c r="F24" s="186">
        <v>20000</v>
      </c>
    </row>
    <row r="25" spans="1:6" s="188" customFormat="1">
      <c r="A25" s="187" t="s">
        <v>216</v>
      </c>
      <c r="B25" s="185">
        <v>1600</v>
      </c>
      <c r="C25" s="185"/>
      <c r="D25" s="185">
        <v>5250</v>
      </c>
      <c r="E25" s="185"/>
      <c r="F25" s="186">
        <v>6000</v>
      </c>
    </row>
    <row r="26" spans="1:6" s="188" customFormat="1">
      <c r="A26" s="184" t="s">
        <v>217</v>
      </c>
      <c r="B26" s="185">
        <v>954</v>
      </c>
      <c r="C26" s="185"/>
      <c r="D26" s="185">
        <v>1500</v>
      </c>
      <c r="E26" s="185"/>
      <c r="F26" s="186">
        <v>1500</v>
      </c>
    </row>
    <row r="27" spans="1:6" s="188" customFormat="1">
      <c r="A27" s="187" t="s">
        <v>218</v>
      </c>
      <c r="B27" s="185"/>
      <c r="C27" s="185"/>
      <c r="D27" s="185">
        <v>2500</v>
      </c>
      <c r="E27" s="185"/>
      <c r="F27" s="186">
        <v>2500</v>
      </c>
    </row>
    <row r="28" spans="1:6" s="188" customFormat="1">
      <c r="A28" s="184" t="s">
        <v>219</v>
      </c>
      <c r="B28" s="185">
        <v>1000</v>
      </c>
      <c r="C28" s="185"/>
      <c r="D28" s="185">
        <v>1500</v>
      </c>
      <c r="E28" s="185"/>
      <c r="F28" s="186">
        <v>1500</v>
      </c>
    </row>
    <row r="29" spans="1:6" ht="24" customHeight="1">
      <c r="A29" s="179" t="s">
        <v>85</v>
      </c>
      <c r="B29" s="182">
        <f>SUM(B30:B33)</f>
        <v>5311</v>
      </c>
      <c r="C29" s="182"/>
      <c r="D29" s="182">
        <f>SUM(D30:D33)</f>
        <v>12846</v>
      </c>
      <c r="E29" s="182"/>
      <c r="F29" s="183">
        <f>SUM(F30:F33)</f>
        <v>17000</v>
      </c>
    </row>
    <row r="30" spans="1:6">
      <c r="A30" s="24" t="s">
        <v>86</v>
      </c>
      <c r="B30" s="170">
        <v>347</v>
      </c>
      <c r="C30" s="170"/>
      <c r="D30" s="170">
        <v>1158</v>
      </c>
      <c r="E30" s="170"/>
      <c r="F30" s="32">
        <v>1417</v>
      </c>
    </row>
    <row r="31" spans="1:6">
      <c r="A31" s="24" t="s">
        <v>87</v>
      </c>
      <c r="B31" s="170">
        <v>540</v>
      </c>
      <c r="C31" s="170"/>
      <c r="D31" s="170">
        <v>1703</v>
      </c>
      <c r="E31" s="170"/>
      <c r="F31" s="32">
        <v>2083</v>
      </c>
    </row>
    <row r="32" spans="1:6">
      <c r="A32" s="24" t="s">
        <v>88</v>
      </c>
      <c r="B32" s="170">
        <v>1265</v>
      </c>
      <c r="C32" s="170"/>
      <c r="D32" s="170">
        <v>4985</v>
      </c>
      <c r="E32" s="170"/>
      <c r="F32" s="32">
        <v>8500</v>
      </c>
    </row>
    <row r="33" spans="1:6">
      <c r="A33" s="26" t="s">
        <v>89</v>
      </c>
      <c r="B33" s="171">
        <v>3159</v>
      </c>
      <c r="C33" s="171"/>
      <c r="D33" s="171">
        <v>5000</v>
      </c>
      <c r="E33" s="171"/>
      <c r="F33" s="34">
        <v>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9715-EBB1-4904-97EE-74FC7595EC25}">
  <dimension ref="A1:G37"/>
  <sheetViews>
    <sheetView showGridLines="0" topLeftCell="A28" workbookViewId="0">
      <selection activeCell="E9" sqref="E9"/>
    </sheetView>
  </sheetViews>
  <sheetFormatPr baseColWidth="10" defaultRowHeight="15"/>
  <cols>
    <col min="1" max="1" width="16.83203125" customWidth="1"/>
    <col min="4" max="4" width="22.33203125" bestFit="1" customWidth="1"/>
    <col min="5" max="5" width="14.6640625" bestFit="1" customWidth="1"/>
    <col min="7" max="7" width="15.5" customWidth="1"/>
  </cols>
  <sheetData>
    <row r="1" spans="1:7">
      <c r="A1" s="1"/>
      <c r="B1" s="12"/>
      <c r="C1" s="12"/>
      <c r="D1" s="12"/>
      <c r="E1" s="1"/>
      <c r="F1" s="1"/>
      <c r="G1" s="1"/>
    </row>
    <row r="2" spans="1:7">
      <c r="A2" s="1"/>
      <c r="B2" s="12"/>
      <c r="C2" s="12"/>
      <c r="D2" s="12"/>
      <c r="E2" s="1"/>
      <c r="F2" s="1"/>
      <c r="G2" s="1"/>
    </row>
    <row r="3" spans="1:7" ht="29">
      <c r="A3" s="333" t="s">
        <v>184</v>
      </c>
      <c r="B3" s="334"/>
      <c r="C3" s="334"/>
      <c r="D3" s="334"/>
      <c r="E3" s="334"/>
      <c r="F3" s="334"/>
      <c r="G3" s="335"/>
    </row>
    <row r="4" spans="1:7">
      <c r="A4" s="325" t="s">
        <v>1</v>
      </c>
      <c r="B4" s="325"/>
      <c r="C4" s="325"/>
      <c r="D4" s="325"/>
      <c r="E4" s="325"/>
      <c r="F4" s="325"/>
      <c r="G4" s="325"/>
    </row>
    <row r="5" spans="1:7">
      <c r="A5" s="1"/>
      <c r="B5" s="12"/>
      <c r="C5" s="12"/>
      <c r="D5" s="12"/>
      <c r="E5" s="1"/>
      <c r="F5" s="1"/>
      <c r="G5" s="1"/>
    </row>
    <row r="6" spans="1:7">
      <c r="A6" s="41">
        <v>2019</v>
      </c>
      <c r="B6" s="42" t="s">
        <v>185</v>
      </c>
      <c r="C6" s="42" t="s">
        <v>186</v>
      </c>
      <c r="D6" s="42" t="s">
        <v>187</v>
      </c>
      <c r="E6" s="42" t="s">
        <v>188</v>
      </c>
      <c r="F6" s="1" t="s">
        <v>194</v>
      </c>
      <c r="G6" s="42" t="s">
        <v>193</v>
      </c>
    </row>
    <row r="7" spans="1:7" ht="24">
      <c r="A7" s="18" t="s">
        <v>100</v>
      </c>
      <c r="B7" s="97">
        <f>+B8+B9</f>
        <v>100000</v>
      </c>
      <c r="C7" s="97">
        <f>+C8+C9</f>
        <v>50000</v>
      </c>
      <c r="D7" s="97"/>
      <c r="E7" s="97">
        <f>SUM(E8:E9)</f>
        <v>150000</v>
      </c>
      <c r="F7" s="1"/>
      <c r="G7" s="97">
        <f>SUM(G8:G9)</f>
        <v>8333.3333333333339</v>
      </c>
    </row>
    <row r="8" spans="1:7" ht="24">
      <c r="A8" s="300" t="s">
        <v>189</v>
      </c>
      <c r="B8" s="301">
        <v>100000</v>
      </c>
      <c r="C8" s="301"/>
      <c r="D8" s="301"/>
      <c r="E8" s="303">
        <f>+B8</f>
        <v>100000</v>
      </c>
      <c r="F8" s="1">
        <v>5</v>
      </c>
      <c r="G8" s="301">
        <f>+C8/F8*0.5</f>
        <v>0</v>
      </c>
    </row>
    <row r="9" spans="1:7" ht="24">
      <c r="A9" s="302" t="s">
        <v>190</v>
      </c>
      <c r="B9" s="303"/>
      <c r="C9" s="303">
        <v>50000</v>
      </c>
      <c r="D9" s="303"/>
      <c r="E9" s="303">
        <f t="shared" ref="E9" si="0">+C9</f>
        <v>50000</v>
      </c>
      <c r="F9" s="1">
        <v>3</v>
      </c>
      <c r="G9" s="303">
        <f>+C9/F9*0.5</f>
        <v>8333.3333333333339</v>
      </c>
    </row>
    <row r="10" spans="1:7" ht="24">
      <c r="A10" s="98" t="s">
        <v>102</v>
      </c>
      <c r="B10" s="99"/>
      <c r="C10" s="99">
        <f>SUM(C11:C19)</f>
        <v>85000</v>
      </c>
      <c r="D10" s="99"/>
      <c r="E10" s="99">
        <f>+C10</f>
        <v>85000</v>
      </c>
      <c r="F10" s="99"/>
      <c r="G10" s="99">
        <f>SUM(G11:G19)</f>
        <v>8187.5</v>
      </c>
    </row>
    <row r="11" spans="1:7">
      <c r="A11" s="302" t="s">
        <v>259</v>
      </c>
      <c r="B11" s="303"/>
      <c r="C11" s="303"/>
      <c r="D11" s="303"/>
      <c r="E11" s="303">
        <f>+C11</f>
        <v>0</v>
      </c>
      <c r="F11" s="304">
        <v>3</v>
      </c>
      <c r="G11" s="303">
        <f>+C11/F11*0.5</f>
        <v>0</v>
      </c>
    </row>
    <row r="12" spans="1:7">
      <c r="A12" s="305" t="s">
        <v>260</v>
      </c>
      <c r="B12" s="305"/>
      <c r="C12" s="306">
        <v>10000</v>
      </c>
      <c r="D12" s="301"/>
      <c r="E12" s="303">
        <f t="shared" ref="E12:E18" si="1">+C12</f>
        <v>10000</v>
      </c>
      <c r="F12" s="304">
        <v>5</v>
      </c>
      <c r="G12" s="303">
        <f t="shared" ref="G12:G18" si="2">+C12/F12*0.5</f>
        <v>1000</v>
      </c>
    </row>
    <row r="13" spans="1:7">
      <c r="A13" s="300" t="s">
        <v>263</v>
      </c>
      <c r="B13" s="301"/>
      <c r="C13" s="306">
        <v>15000</v>
      </c>
      <c r="D13" s="301"/>
      <c r="E13" s="303">
        <f t="shared" si="1"/>
        <v>15000</v>
      </c>
      <c r="F13" s="304">
        <v>8</v>
      </c>
      <c r="G13" s="303">
        <f t="shared" si="2"/>
        <v>937.5</v>
      </c>
    </row>
    <row r="14" spans="1:7">
      <c r="A14" s="300" t="s">
        <v>258</v>
      </c>
      <c r="B14" s="301"/>
      <c r="C14" s="306">
        <v>5000</v>
      </c>
      <c r="D14" s="301"/>
      <c r="E14" s="303">
        <f t="shared" si="1"/>
        <v>5000</v>
      </c>
      <c r="F14" s="304">
        <v>5</v>
      </c>
      <c r="G14" s="303">
        <f t="shared" si="2"/>
        <v>500</v>
      </c>
    </row>
    <row r="15" spans="1:7">
      <c r="A15" s="300" t="s">
        <v>261</v>
      </c>
      <c r="B15" s="301"/>
      <c r="C15" s="306">
        <v>30000</v>
      </c>
      <c r="D15" s="301"/>
      <c r="E15" s="303">
        <f t="shared" si="1"/>
        <v>30000</v>
      </c>
      <c r="F15" s="304">
        <v>5</v>
      </c>
      <c r="G15" s="303">
        <f t="shared" si="2"/>
        <v>3000</v>
      </c>
    </row>
    <row r="16" spans="1:7">
      <c r="A16" s="300" t="s">
        <v>262</v>
      </c>
      <c r="B16" s="301"/>
      <c r="C16" s="306">
        <v>10000</v>
      </c>
      <c r="D16" s="301"/>
      <c r="E16" s="303">
        <f t="shared" si="1"/>
        <v>10000</v>
      </c>
      <c r="F16" s="304">
        <v>5</v>
      </c>
      <c r="G16" s="303">
        <f t="shared" si="2"/>
        <v>1000</v>
      </c>
    </row>
    <row r="17" spans="1:7">
      <c r="A17" s="300" t="s">
        <v>256</v>
      </c>
      <c r="B17" s="301"/>
      <c r="C17" s="306">
        <v>5000</v>
      </c>
      <c r="D17" s="301"/>
      <c r="E17" s="303">
        <f t="shared" si="1"/>
        <v>5000</v>
      </c>
      <c r="F17" s="304">
        <v>5</v>
      </c>
      <c r="G17" s="303">
        <f t="shared" si="2"/>
        <v>500</v>
      </c>
    </row>
    <row r="18" spans="1:7" ht="24">
      <c r="A18" s="302" t="s">
        <v>257</v>
      </c>
      <c r="B18" s="303"/>
      <c r="C18" s="307">
        <v>10000</v>
      </c>
      <c r="D18" s="303"/>
      <c r="E18" s="303">
        <f t="shared" si="1"/>
        <v>10000</v>
      </c>
      <c r="F18" s="304">
        <v>4</v>
      </c>
      <c r="G18" s="303">
        <f t="shared" si="2"/>
        <v>1250</v>
      </c>
    </row>
    <row r="19" spans="1:7">
      <c r="A19" s="308"/>
      <c r="B19" s="309"/>
      <c r="C19" s="309"/>
      <c r="D19" s="309"/>
      <c r="E19" s="309"/>
      <c r="F19" s="304"/>
      <c r="G19" s="309"/>
    </row>
    <row r="20" spans="1:7">
      <c r="A20" s="10" t="s">
        <v>192</v>
      </c>
      <c r="B20" s="44"/>
      <c r="C20" s="44">
        <f>+C10+C7</f>
        <v>135000</v>
      </c>
      <c r="D20" s="44"/>
      <c r="E20" s="44">
        <v>240230</v>
      </c>
      <c r="F20" s="1"/>
      <c r="G20" s="44">
        <f>+G10+G7</f>
        <v>16520.833333333336</v>
      </c>
    </row>
    <row r="21" spans="1:7">
      <c r="A21" s="46" t="s">
        <v>183</v>
      </c>
      <c r="B21" s="47"/>
      <c r="C21" s="47"/>
      <c r="D21" s="47"/>
      <c r="E21" s="47"/>
      <c r="F21" s="1"/>
      <c r="G21" s="47"/>
    </row>
    <row r="22" spans="1:7">
      <c r="A22" s="41">
        <v>2020</v>
      </c>
      <c r="B22" s="42" t="s">
        <v>185</v>
      </c>
      <c r="C22" s="42" t="s">
        <v>186</v>
      </c>
      <c r="D22" s="42" t="s">
        <v>187</v>
      </c>
      <c r="E22" s="42" t="s">
        <v>188</v>
      </c>
      <c r="F22" s="1"/>
      <c r="G22" s="42" t="s">
        <v>193</v>
      </c>
    </row>
    <row r="23" spans="1:7" ht="24">
      <c r="A23" s="9" t="s">
        <v>100</v>
      </c>
      <c r="B23" s="40">
        <f>+E7</f>
        <v>150000</v>
      </c>
      <c r="C23" s="40">
        <v>50000</v>
      </c>
      <c r="D23" s="40"/>
      <c r="E23" s="40">
        <f>+B23+C23</f>
        <v>200000</v>
      </c>
      <c r="F23" s="1"/>
      <c r="G23" s="40">
        <f>+B23*0.2+C23*0.5*0.2</f>
        <v>35000</v>
      </c>
    </row>
    <row r="24" spans="1:7" ht="24">
      <c r="A24" s="6" t="s">
        <v>102</v>
      </c>
      <c r="B24" s="43">
        <f>+E10</f>
        <v>85000</v>
      </c>
      <c r="C24" s="43">
        <v>20000</v>
      </c>
      <c r="D24" s="43"/>
      <c r="E24" s="43">
        <f>+B24+C24+D24</f>
        <v>105000</v>
      </c>
      <c r="F24" s="1"/>
      <c r="G24" s="43">
        <f>+G10*2+C24*0.5*0.2</f>
        <v>18375</v>
      </c>
    </row>
    <row r="25" spans="1:7" ht="24">
      <c r="A25" s="9" t="s">
        <v>191</v>
      </c>
      <c r="B25" s="40"/>
      <c r="C25" s="40"/>
      <c r="D25" s="40"/>
      <c r="E25" s="40"/>
      <c r="F25" s="99"/>
      <c r="G25" s="40"/>
    </row>
    <row r="26" spans="1:7">
      <c r="A26" s="10" t="s">
        <v>192</v>
      </c>
      <c r="B26" s="44"/>
      <c r="C26" s="44"/>
      <c r="D26" s="44"/>
      <c r="E26" s="44">
        <v>240230</v>
      </c>
      <c r="F26" s="1"/>
      <c r="G26" s="44">
        <f>SUM(G23:G25)</f>
        <v>53375</v>
      </c>
    </row>
    <row r="27" spans="1:7">
      <c r="A27" s="46" t="s">
        <v>183</v>
      </c>
      <c r="B27" s="47"/>
      <c r="C27" s="47"/>
      <c r="D27" s="47"/>
      <c r="E27" s="47"/>
      <c r="F27" s="1"/>
      <c r="G27" s="47"/>
    </row>
    <row r="28" spans="1:7">
      <c r="A28" s="41">
        <v>2021</v>
      </c>
      <c r="B28" s="42" t="s">
        <v>185</v>
      </c>
      <c r="C28" s="42" t="s">
        <v>186</v>
      </c>
      <c r="D28" s="42" t="s">
        <v>187</v>
      </c>
      <c r="E28" s="42" t="s">
        <v>188</v>
      </c>
      <c r="F28" s="1"/>
      <c r="G28" s="42" t="s">
        <v>193</v>
      </c>
    </row>
    <row r="29" spans="1:7" ht="24">
      <c r="A29" s="9" t="s">
        <v>100</v>
      </c>
      <c r="B29" s="40">
        <f>+E23</f>
        <v>200000</v>
      </c>
      <c r="C29" s="40"/>
      <c r="D29" s="40"/>
      <c r="E29" s="40">
        <f>+B29</f>
        <v>200000</v>
      </c>
      <c r="F29" s="1"/>
      <c r="G29" s="40">
        <f>+E29*0.2</f>
        <v>40000</v>
      </c>
    </row>
    <row r="30" spans="1:7" ht="24">
      <c r="A30" s="6" t="s">
        <v>102</v>
      </c>
      <c r="B30" s="43">
        <f>+E24</f>
        <v>105000</v>
      </c>
      <c r="C30" s="43"/>
      <c r="D30" s="43"/>
      <c r="E30" s="43">
        <f>+B30+C30+D30</f>
        <v>105000</v>
      </c>
      <c r="F30" s="1"/>
      <c r="G30" s="43">
        <f>+G24</f>
        <v>18375</v>
      </c>
    </row>
    <row r="31" spans="1:7" ht="24">
      <c r="A31" s="9" t="s">
        <v>191</v>
      </c>
      <c r="B31" s="40"/>
      <c r="C31" s="40"/>
      <c r="D31" s="40"/>
      <c r="E31" s="40"/>
      <c r="F31" s="1"/>
      <c r="G31" s="40"/>
    </row>
    <row r="32" spans="1:7">
      <c r="A32" s="10" t="s">
        <v>192</v>
      </c>
      <c r="B32" s="44">
        <v>240230</v>
      </c>
      <c r="C32" s="44"/>
      <c r="D32" s="44"/>
      <c r="E32" s="44">
        <v>240230</v>
      </c>
      <c r="F32" s="1"/>
      <c r="G32" s="44">
        <f>SUM(G29:G31)</f>
        <v>58375</v>
      </c>
    </row>
    <row r="33" spans="1:7">
      <c r="A33" s="46" t="s">
        <v>183</v>
      </c>
      <c r="B33" s="47"/>
      <c r="C33" s="47"/>
      <c r="D33" s="47"/>
      <c r="E33" s="47"/>
      <c r="F33" s="1"/>
      <c r="G33" s="1"/>
    </row>
    <row r="34" spans="1:7">
      <c r="A34" s="1"/>
      <c r="B34" s="12"/>
      <c r="C34" s="12"/>
      <c r="D34" s="12"/>
      <c r="E34" s="1"/>
      <c r="F34" s="1"/>
      <c r="G34" s="1"/>
    </row>
    <row r="35" spans="1:7">
      <c r="A35" s="1"/>
      <c r="B35" s="12"/>
      <c r="C35" s="12"/>
      <c r="D35" s="12"/>
      <c r="E35" s="1"/>
      <c r="F35" s="1"/>
      <c r="G35" s="1"/>
    </row>
    <row r="36" spans="1:7">
      <c r="A36" s="1"/>
      <c r="B36" s="12"/>
      <c r="C36" s="12"/>
      <c r="D36" s="12"/>
      <c r="E36" s="1"/>
      <c r="F36" s="1"/>
      <c r="G36" s="1"/>
    </row>
    <row r="37" spans="1:7">
      <c r="A37" s="1"/>
      <c r="B37" s="12"/>
      <c r="C37" s="12"/>
      <c r="D37" s="12"/>
      <c r="E37" s="1"/>
      <c r="F37" s="1"/>
      <c r="G37" s="1"/>
    </row>
  </sheetData>
  <mergeCells count="2"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30228-31E5-4A2C-B98B-E955C7EE9FFA}">
  <dimension ref="A1:K45"/>
  <sheetViews>
    <sheetView showGridLines="0" zoomScale="85" zoomScaleNormal="85" workbookViewId="0">
      <selection activeCell="N50" sqref="N50"/>
    </sheetView>
  </sheetViews>
  <sheetFormatPr baseColWidth="10" defaultRowHeight="15"/>
  <cols>
    <col min="1" max="1" width="34.83203125" customWidth="1"/>
    <col min="2" max="2" width="15.1640625" customWidth="1"/>
    <col min="3" max="3" width="13.33203125" customWidth="1"/>
    <col min="4" max="4" width="12.5" bestFit="1" customWidth="1"/>
    <col min="5" max="5" width="6" customWidth="1"/>
    <col min="6" max="6" width="27.6640625" bestFit="1" customWidth="1"/>
    <col min="7" max="7" width="12.1640625" bestFit="1" customWidth="1"/>
    <col min="8" max="9" width="12.5" bestFit="1" customWidth="1"/>
  </cols>
  <sheetData>
    <row r="1" spans="1:11">
      <c r="A1" s="1"/>
      <c r="B1" s="12"/>
      <c r="C1" s="12"/>
      <c r="D1" s="12"/>
      <c r="E1" s="1"/>
      <c r="F1" s="1"/>
      <c r="G1" s="1"/>
    </row>
    <row r="2" spans="1:11" ht="29">
      <c r="A2" s="333" t="s">
        <v>151</v>
      </c>
      <c r="B2" s="334"/>
      <c r="C2" s="334"/>
      <c r="D2" s="334"/>
      <c r="E2" s="334"/>
      <c r="F2" s="334"/>
      <c r="G2" s="335"/>
    </row>
    <row r="4" spans="1:11">
      <c r="A4" s="325" t="s">
        <v>1</v>
      </c>
      <c r="B4" s="325"/>
      <c r="C4" s="325"/>
      <c r="D4" s="325"/>
      <c r="E4" s="325"/>
      <c r="F4" s="325"/>
      <c r="G4" s="325"/>
    </row>
    <row r="5" spans="1:11">
      <c r="A5" s="121"/>
      <c r="B5" s="122">
        <v>2019</v>
      </c>
      <c r="C5" s="122">
        <v>2020</v>
      </c>
      <c r="D5" s="123">
        <v>2021</v>
      </c>
      <c r="E5" s="1"/>
      <c r="F5" s="133"/>
      <c r="G5" s="134">
        <v>2019</v>
      </c>
      <c r="H5" s="134">
        <v>2020</v>
      </c>
      <c r="I5" s="135">
        <v>2021</v>
      </c>
    </row>
    <row r="6" spans="1:11">
      <c r="A6" s="85" t="s">
        <v>98</v>
      </c>
      <c r="B6" s="124"/>
      <c r="C6" s="124"/>
      <c r="D6" s="125"/>
      <c r="E6" s="1"/>
      <c r="F6" s="85" t="s">
        <v>126</v>
      </c>
      <c r="G6" s="124">
        <f>+'Tableau des emplois ressources'!B3</f>
        <v>0</v>
      </c>
      <c r="H6" s="124">
        <f>+G6+'Tableau des emplois ressources'!C3</f>
        <v>0</v>
      </c>
      <c r="I6" s="125">
        <f>+H6+'Tableau des emplois ressources'!D3</f>
        <v>0</v>
      </c>
    </row>
    <row r="7" spans="1:11">
      <c r="A7" s="126" t="s">
        <v>99</v>
      </c>
      <c r="B7" s="127"/>
      <c r="C7" s="127"/>
      <c r="D7" s="128"/>
      <c r="E7" s="1"/>
      <c r="F7" s="51" t="s">
        <v>127</v>
      </c>
      <c r="G7" s="129">
        <v>100000</v>
      </c>
      <c r="H7" s="129">
        <f>+G8+G7</f>
        <v>-508447.74236238201</v>
      </c>
      <c r="I7" s="130">
        <f>+H7+H8</f>
        <v>-715146.06862904876</v>
      </c>
    </row>
    <row r="8" spans="1:11">
      <c r="A8" s="85" t="s">
        <v>100</v>
      </c>
      <c r="B8" s="124">
        <f>+Investissements!E7</f>
        <v>150000</v>
      </c>
      <c r="C8" s="124">
        <f>+Investissements!E23</f>
        <v>200000</v>
      </c>
      <c r="D8" s="125">
        <f>+Investissements!E29</f>
        <v>200000</v>
      </c>
      <c r="E8" s="1"/>
      <c r="F8" s="85" t="s">
        <v>63</v>
      </c>
      <c r="G8" s="124">
        <f>+'COMPTE DE RESULTAT'!B99</f>
        <v>-608447.74236238201</v>
      </c>
      <c r="H8" s="124">
        <f>+'COMPTE DE RESULTAT'!D99</f>
        <v>-206698.3262666667</v>
      </c>
      <c r="I8" s="125">
        <f>+'COMPTE DE RESULTAT'!F99</f>
        <v>649221.45820799994</v>
      </c>
    </row>
    <row r="9" spans="1:11">
      <c r="A9" s="51" t="s">
        <v>101</v>
      </c>
      <c r="B9" s="129">
        <f>+Investissements!G7</f>
        <v>8333.3333333333339</v>
      </c>
      <c r="C9" s="129">
        <f>+Investissements!G7+Investissements!G23</f>
        <v>43333.333333333336</v>
      </c>
      <c r="D9" s="130">
        <f>+Investissements!G7+Investissements!G23+Investissements!G29</f>
        <v>83333.333333333343</v>
      </c>
      <c r="E9" s="1"/>
      <c r="F9" s="85" t="s">
        <v>224</v>
      </c>
      <c r="G9" s="124">
        <v>220000</v>
      </c>
      <c r="H9" s="124">
        <v>220000</v>
      </c>
      <c r="I9" s="125">
        <v>220000</v>
      </c>
    </row>
    <row r="10" spans="1:11">
      <c r="A10" s="85" t="s">
        <v>102</v>
      </c>
      <c r="B10" s="124">
        <f>+Investissements!C10</f>
        <v>85000</v>
      </c>
      <c r="C10" s="124">
        <f>+Investissements!E24</f>
        <v>105000</v>
      </c>
      <c r="D10" s="125">
        <f>+Investissements!E30</f>
        <v>105000</v>
      </c>
      <c r="E10" s="1"/>
      <c r="F10" s="51" t="s">
        <v>128</v>
      </c>
      <c r="G10" s="129"/>
      <c r="H10" s="129"/>
      <c r="I10" s="130"/>
      <c r="K10" s="109"/>
    </row>
    <row r="11" spans="1:11">
      <c r="A11" s="51" t="s">
        <v>103</v>
      </c>
      <c r="B11" s="129">
        <f>+Investissements!G10</f>
        <v>8187.5</v>
      </c>
      <c r="C11" s="129">
        <f>+Investissements!G10+Investissements!G24</f>
        <v>26562.5</v>
      </c>
      <c r="D11" s="130">
        <f>+Investissements!G10+Investissements!G24+Investissements!G30</f>
        <v>44937.5</v>
      </c>
      <c r="E11" s="1"/>
      <c r="F11" s="59" t="s">
        <v>129</v>
      </c>
      <c r="G11" s="131">
        <f>SUM(G6:G10)</f>
        <v>-288447.74236238201</v>
      </c>
      <c r="H11" s="131">
        <f>SUM(H6:H10)</f>
        <v>-495146.06862904876</v>
      </c>
      <c r="I11" s="132">
        <f>SUM(I6:I10)</f>
        <v>154075.38957895117</v>
      </c>
    </row>
    <row r="12" spans="1:11">
      <c r="A12" s="85" t="s">
        <v>104</v>
      </c>
      <c r="B12" s="124"/>
      <c r="C12" s="124"/>
      <c r="D12" s="125"/>
      <c r="E12" s="1"/>
      <c r="F12" s="136" t="s">
        <v>130</v>
      </c>
      <c r="G12" s="137"/>
      <c r="H12" s="137"/>
      <c r="I12" s="138"/>
    </row>
    <row r="13" spans="1:11">
      <c r="A13" s="51" t="s">
        <v>105</v>
      </c>
      <c r="B13" s="129"/>
      <c r="C13" s="129"/>
      <c r="D13" s="130"/>
      <c r="E13" s="1"/>
      <c r="F13" s="126" t="s">
        <v>131</v>
      </c>
      <c r="G13" s="127"/>
      <c r="H13" s="127"/>
      <c r="I13" s="128"/>
      <c r="J13" s="109"/>
      <c r="K13" s="109"/>
    </row>
    <row r="14" spans="1:11">
      <c r="A14" s="59" t="s">
        <v>106</v>
      </c>
      <c r="B14" s="131">
        <f>+B8-B9+B10-B11</f>
        <v>218479.16666666666</v>
      </c>
      <c r="C14" s="131">
        <f>+C8-C9+C10-C11</f>
        <v>235104.16666666666</v>
      </c>
      <c r="D14" s="132">
        <f>+D8-D9+D10-D11</f>
        <v>176729.16666666666</v>
      </c>
      <c r="E14" s="1"/>
      <c r="F14" s="316" t="s">
        <v>132</v>
      </c>
      <c r="G14" s="317">
        <f>+financement!E14</f>
        <v>50000</v>
      </c>
      <c r="H14" s="317">
        <f>+financement!G20</f>
        <v>0</v>
      </c>
      <c r="I14" s="318">
        <f>+financement!G28</f>
        <v>0</v>
      </c>
    </row>
    <row r="15" spans="1:11">
      <c r="A15" s="126" t="s">
        <v>107</v>
      </c>
      <c r="B15" s="127"/>
      <c r="C15" s="127"/>
      <c r="D15" s="128"/>
      <c r="E15" s="1"/>
      <c r="F15" s="85" t="s">
        <v>133</v>
      </c>
      <c r="G15" s="124"/>
      <c r="H15" s="124"/>
      <c r="I15" s="125"/>
    </row>
    <row r="16" spans="1:11">
      <c r="A16" s="85" t="s">
        <v>108</v>
      </c>
      <c r="B16" s="124"/>
      <c r="C16" s="124"/>
      <c r="D16" s="125"/>
      <c r="E16" s="1"/>
      <c r="F16" s="51" t="s">
        <v>134</v>
      </c>
      <c r="G16" s="129"/>
      <c r="H16" s="129"/>
      <c r="I16" s="130"/>
    </row>
    <row r="17" spans="1:9">
      <c r="A17" s="51" t="s">
        <v>109</v>
      </c>
      <c r="B17" s="129"/>
      <c r="C17" s="129"/>
      <c r="D17" s="130"/>
      <c r="E17" s="1"/>
      <c r="F17" s="85" t="s">
        <v>135</v>
      </c>
      <c r="G17" s="124"/>
      <c r="H17" s="124"/>
      <c r="I17" s="125"/>
    </row>
    <row r="18" spans="1:9">
      <c r="A18" s="85" t="s">
        <v>110</v>
      </c>
      <c r="B18" s="124">
        <f>+'Cout de production'!H4*BILAN!B43/360</f>
        <v>66666.666666666672</v>
      </c>
      <c r="C18" s="124">
        <f>+C43/360*'Cout de production'!J4</f>
        <v>333333.33333333331</v>
      </c>
      <c r="D18" s="125">
        <f>+D43/360*'Cout de production'!L4</f>
        <v>533333.33333333326</v>
      </c>
      <c r="E18" s="1"/>
      <c r="F18" s="51" t="s">
        <v>136</v>
      </c>
      <c r="G18" s="129"/>
      <c r="H18" s="129"/>
      <c r="I18" s="130"/>
    </row>
    <row r="19" spans="1:9">
      <c r="A19" s="51" t="s">
        <v>111</v>
      </c>
      <c r="B19" s="129"/>
      <c r="C19" s="129"/>
      <c r="D19" s="130"/>
      <c r="E19" s="1"/>
      <c r="F19" s="85" t="s">
        <v>137</v>
      </c>
      <c r="G19" s="124">
        <f>+G18*0.005</f>
        <v>0</v>
      </c>
      <c r="H19" s="124">
        <f>+H18*0.005</f>
        <v>0</v>
      </c>
      <c r="I19" s="125">
        <f>+I18*0.005</f>
        <v>0</v>
      </c>
    </row>
    <row r="20" spans="1:9">
      <c r="A20" s="85" t="s">
        <v>112</v>
      </c>
      <c r="B20" s="124"/>
      <c r="C20" s="124"/>
      <c r="D20" s="125"/>
      <c r="E20" s="1"/>
      <c r="F20" s="51" t="s">
        <v>61</v>
      </c>
      <c r="G20" s="129"/>
      <c r="H20" s="129"/>
      <c r="I20" s="130"/>
    </row>
    <row r="21" spans="1:9">
      <c r="A21" s="51" t="s">
        <v>113</v>
      </c>
      <c r="B21" s="129">
        <f>+B44/365*'Ventes - product mix'!D6</f>
        <v>0</v>
      </c>
      <c r="C21" s="129">
        <f>+C44/360*'Ventes - product mix'!F6</f>
        <v>0</v>
      </c>
      <c r="D21" s="130">
        <f>+D44/360*'Ventes - product mix'!H6</f>
        <v>0</v>
      </c>
      <c r="E21" s="1"/>
      <c r="F21" s="85" t="s">
        <v>138</v>
      </c>
      <c r="G21" s="124">
        <f>+'Ventes - product mix'!M70</f>
        <v>945000</v>
      </c>
      <c r="H21" s="124">
        <f>+'Ventes - product mix'!Z70</f>
        <v>1540000</v>
      </c>
      <c r="I21" s="125">
        <f>+'Ventes - product mix'!AM70</f>
        <v>170000</v>
      </c>
    </row>
    <row r="22" spans="1:9">
      <c r="A22" s="85" t="s">
        <v>114</v>
      </c>
      <c r="B22" s="124"/>
      <c r="C22" s="124"/>
      <c r="D22" s="125"/>
      <c r="E22" s="1"/>
      <c r="F22" s="51" t="s">
        <v>139</v>
      </c>
      <c r="G22" s="129">
        <f>+('COMPTE DE RESULTAT'!B11+'COMPTE DE RESULTAT'!B15+'COMPTE DE RESULTAT'!B22)/365*BILAN!B45</f>
        <v>107426.30136986301</v>
      </c>
      <c r="H22" s="129">
        <f>+('COMPTE DE RESULTAT'!D11+'COMPTE DE RESULTAT'!D15+'COMPTE DE RESULTAT'!D22)/365*BILAN!C45</f>
        <v>296676.82191780821</v>
      </c>
      <c r="I22" s="130">
        <f>+('COMPTE DE RESULTAT'!F11+'COMPTE DE RESULTAT'!F15+'COMPTE DE RESULTAT'!F22)/365*BILAN!D45</f>
        <v>443141.91780821915</v>
      </c>
    </row>
    <row r="23" spans="1:9">
      <c r="A23" s="51" t="s">
        <v>115</v>
      </c>
      <c r="B23" s="129"/>
      <c r="C23" s="129"/>
      <c r="D23" s="130"/>
      <c r="E23" s="1"/>
      <c r="F23" s="85" t="s">
        <v>140</v>
      </c>
      <c r="G23" s="124"/>
      <c r="H23" s="124"/>
      <c r="I23" s="125"/>
    </row>
    <row r="24" spans="1:9">
      <c r="A24" s="85" t="s">
        <v>116</v>
      </c>
      <c r="B24" s="124"/>
      <c r="C24" s="124"/>
      <c r="D24" s="125"/>
      <c r="E24" s="1"/>
      <c r="F24" s="51" t="s">
        <v>141</v>
      </c>
      <c r="G24" s="129">
        <f>+'COMPTE DE RESULTAT'!B64/6</f>
        <v>13863.779999999999</v>
      </c>
      <c r="H24" s="129">
        <f>+'COMPTE DE RESULTAT'!D64/12</f>
        <v>17231.466</v>
      </c>
      <c r="I24" s="130">
        <f>+'COMPTE DE RESULTAT'!F64/12</f>
        <v>18634.893200000002</v>
      </c>
    </row>
    <row r="25" spans="1:9">
      <c r="A25" s="51" t="s">
        <v>117</v>
      </c>
      <c r="B25" s="129"/>
      <c r="C25" s="129"/>
      <c r="D25" s="130"/>
      <c r="E25" s="1"/>
      <c r="F25" s="85" t="s">
        <v>142</v>
      </c>
      <c r="G25" s="124"/>
      <c r="H25" s="124"/>
      <c r="I25" s="125"/>
    </row>
    <row r="26" spans="1:9">
      <c r="A26" s="51"/>
      <c r="B26" s="129"/>
      <c r="C26" s="129"/>
      <c r="D26" s="130"/>
      <c r="E26" s="1"/>
      <c r="F26" s="51" t="s">
        <v>143</v>
      </c>
      <c r="G26" s="129"/>
      <c r="H26" s="129"/>
      <c r="I26" s="130"/>
    </row>
    <row r="27" spans="1:9">
      <c r="A27" s="85" t="s">
        <v>118</v>
      </c>
      <c r="B27" s="124"/>
      <c r="C27" s="124"/>
      <c r="D27" s="125"/>
      <c r="E27" s="1"/>
      <c r="F27" s="85" t="s">
        <v>62</v>
      </c>
      <c r="G27" s="124"/>
      <c r="H27" s="124"/>
      <c r="I27" s="125">
        <f>+'COMPTE DE RESULTAT'!F98</f>
        <v>252475.01152533336</v>
      </c>
    </row>
    <row r="28" spans="1:9">
      <c r="A28" s="51" t="s">
        <v>119</v>
      </c>
      <c r="B28" s="129"/>
      <c r="C28" s="129"/>
      <c r="D28" s="130"/>
      <c r="E28" s="1"/>
      <c r="F28" s="51" t="s">
        <v>144</v>
      </c>
      <c r="G28" s="129">
        <f>+'COMPTE DE RESULTAT'!B44</f>
        <v>5311</v>
      </c>
      <c r="H28" s="129">
        <f>+'COMPTE DE RESULTAT'!D44</f>
        <v>12846</v>
      </c>
      <c r="I28" s="130">
        <f>+'COMPTE DE RESULTAT'!F43</f>
        <v>17000</v>
      </c>
    </row>
    <row r="29" spans="1:9">
      <c r="A29" s="51" t="s">
        <v>120</v>
      </c>
      <c r="B29" s="129"/>
      <c r="C29" s="129"/>
      <c r="D29" s="130"/>
      <c r="E29" s="1"/>
      <c r="F29" s="85" t="s">
        <v>145</v>
      </c>
      <c r="G29" s="124"/>
      <c r="H29" s="124"/>
      <c r="I29" s="125"/>
    </row>
    <row r="30" spans="1:9">
      <c r="A30" s="85" t="s">
        <v>121</v>
      </c>
      <c r="B30" s="124">
        <v>766634</v>
      </c>
      <c r="C30" s="124">
        <v>1579216</v>
      </c>
      <c r="D30" s="125">
        <v>1832417</v>
      </c>
      <c r="E30" s="1"/>
      <c r="F30" s="51" t="s">
        <v>146</v>
      </c>
      <c r="G30" s="129"/>
      <c r="H30" s="129"/>
      <c r="I30" s="130"/>
    </row>
    <row r="31" spans="1:9">
      <c r="A31" s="51" t="s">
        <v>122</v>
      </c>
      <c r="B31" s="129"/>
      <c r="C31" s="129"/>
      <c r="D31" s="130"/>
      <c r="E31" s="1"/>
      <c r="F31" s="85" t="s">
        <v>147</v>
      </c>
      <c r="G31" s="124"/>
      <c r="H31" s="124"/>
      <c r="I31" s="125"/>
    </row>
    <row r="32" spans="1:9">
      <c r="A32" s="85" t="s">
        <v>123</v>
      </c>
      <c r="B32" s="124"/>
      <c r="C32" s="124"/>
      <c r="D32" s="125"/>
      <c r="E32" s="1"/>
      <c r="F32" s="51" t="s">
        <v>148</v>
      </c>
      <c r="G32" s="129"/>
      <c r="H32" s="129"/>
      <c r="I32" s="130"/>
    </row>
    <row r="33" spans="1:9">
      <c r="A33" s="59" t="s">
        <v>124</v>
      </c>
      <c r="B33" s="131">
        <f>SUM(B16:B32)</f>
        <v>833300.66666666663</v>
      </c>
      <c r="C33" s="131">
        <f>SUM(C16:C32)</f>
        <v>1912549.3333333333</v>
      </c>
      <c r="D33" s="132">
        <f>SUM(D16:D32)</f>
        <v>2365750.333333333</v>
      </c>
      <c r="E33" s="1"/>
      <c r="F33" s="319" t="s">
        <v>149</v>
      </c>
      <c r="G33" s="320">
        <f>SUM(G14:G32)</f>
        <v>1121601.0813698631</v>
      </c>
      <c r="H33" s="320">
        <f>SUM(H14:H32)</f>
        <v>1866754.2879178082</v>
      </c>
      <c r="I33" s="321">
        <f>SUM(I14:I32)</f>
        <v>901251.82253355253</v>
      </c>
    </row>
    <row r="34" spans="1:9">
      <c r="A34" s="110" t="s">
        <v>125</v>
      </c>
      <c r="B34" s="139">
        <f>+B33+B14</f>
        <v>1051779.8333333333</v>
      </c>
      <c r="C34" s="139">
        <f>+C33+C14</f>
        <v>2147653.5</v>
      </c>
      <c r="D34" s="140">
        <f>+D33+D14</f>
        <v>2542479.4999999995</v>
      </c>
      <c r="E34" s="1"/>
      <c r="F34" s="110" t="s">
        <v>150</v>
      </c>
      <c r="G34" s="139">
        <f>+G33+G11</f>
        <v>833153.33900748112</v>
      </c>
      <c r="H34" s="139">
        <f>+H33+H11</f>
        <v>1371608.2192887594</v>
      </c>
      <c r="I34" s="140">
        <f>+I33+I11</f>
        <v>1055327.2121125036</v>
      </c>
    </row>
    <row r="35" spans="1:9">
      <c r="F35" s="1"/>
      <c r="G35" s="1"/>
    </row>
    <row r="37" spans="1:9">
      <c r="B37" s="100">
        <f>+B34-G34</f>
        <v>218626.49432585214</v>
      </c>
      <c r="C37" s="100">
        <f>+C34-H34</f>
        <v>776045.2807112406</v>
      </c>
      <c r="D37" s="100">
        <f>+D34-I34</f>
        <v>1487152.2878874959</v>
      </c>
    </row>
    <row r="42" spans="1:9">
      <c r="A42" s="17" t="s">
        <v>195</v>
      </c>
      <c r="B42" s="17">
        <v>2018</v>
      </c>
      <c r="C42" s="17">
        <v>2019</v>
      </c>
      <c r="D42" s="17">
        <v>2020</v>
      </c>
    </row>
    <row r="43" spans="1:9">
      <c r="A43" s="101" t="s">
        <v>196</v>
      </c>
      <c r="B43" s="102">
        <v>100</v>
      </c>
      <c r="C43" s="102">
        <v>120</v>
      </c>
      <c r="D43" s="103">
        <v>120</v>
      </c>
    </row>
    <row r="44" spans="1:9">
      <c r="A44" s="104" t="s">
        <v>268</v>
      </c>
      <c r="B44" s="14"/>
      <c r="C44" s="14"/>
      <c r="D44" s="105"/>
    </row>
    <row r="45" spans="1:9">
      <c r="A45" s="106" t="s">
        <v>197</v>
      </c>
      <c r="B45" s="107">
        <v>60</v>
      </c>
      <c r="C45" s="107">
        <v>60</v>
      </c>
      <c r="D45" s="108">
        <v>60</v>
      </c>
      <c r="E45" s="315"/>
    </row>
  </sheetData>
  <mergeCells count="2">
    <mergeCell ref="A2:G2"/>
    <mergeCell ref="A4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9EAB-E60D-4F69-BF86-E9503FDBF453}">
  <dimension ref="A1:E30"/>
  <sheetViews>
    <sheetView showGridLines="0" topLeftCell="A11" workbookViewId="0">
      <selection activeCell="E5" sqref="E5"/>
    </sheetView>
  </sheetViews>
  <sheetFormatPr baseColWidth="10" defaultRowHeight="15"/>
  <cols>
    <col min="1" max="1" width="35.1640625" customWidth="1"/>
    <col min="2" max="3" width="13.83203125" style="13" bestFit="1" customWidth="1"/>
    <col min="4" max="4" width="15.33203125" style="13" bestFit="1" customWidth="1"/>
    <col min="5" max="5" width="11.5" style="141"/>
  </cols>
  <sheetData>
    <row r="1" spans="1:5">
      <c r="A1" s="2"/>
      <c r="B1" s="112">
        <v>2019</v>
      </c>
      <c r="C1" s="112">
        <v>2020</v>
      </c>
      <c r="D1" s="112">
        <v>2021</v>
      </c>
    </row>
    <row r="2" spans="1:5">
      <c r="A2" s="41" t="s">
        <v>152</v>
      </c>
      <c r="B2" s="113"/>
      <c r="C2" s="113"/>
      <c r="D2" s="113"/>
    </row>
    <row r="3" spans="1:5">
      <c r="A3" s="4" t="s">
        <v>153</v>
      </c>
      <c r="B3" s="114"/>
      <c r="C3" s="114"/>
      <c r="D3" s="114"/>
      <c r="E3" s="142" t="s">
        <v>203</v>
      </c>
    </row>
    <row r="4" spans="1:5">
      <c r="A4" s="3" t="s">
        <v>136</v>
      </c>
      <c r="B4" s="115">
        <f>200000+20000</f>
        <v>220000</v>
      </c>
      <c r="C4" s="115"/>
      <c r="D4" s="115"/>
      <c r="E4" s="142" t="s">
        <v>274</v>
      </c>
    </row>
    <row r="5" spans="1:5">
      <c r="A5" s="6" t="s">
        <v>154</v>
      </c>
      <c r="B5" s="114"/>
      <c r="C5" s="114"/>
      <c r="D5" s="114"/>
      <c r="E5" s="142"/>
    </row>
    <row r="6" spans="1:5">
      <c r="A6" s="9" t="s">
        <v>155</v>
      </c>
      <c r="B6" s="115">
        <v>50000</v>
      </c>
      <c r="C6" s="115"/>
      <c r="D6" s="115"/>
      <c r="E6" s="142" t="s">
        <v>204</v>
      </c>
    </row>
    <row r="7" spans="1:5">
      <c r="A7" s="6" t="s">
        <v>156</v>
      </c>
      <c r="B7" s="114"/>
      <c r="C7" s="114"/>
      <c r="D7" s="114"/>
      <c r="E7" s="142"/>
    </row>
    <row r="8" spans="1:5">
      <c r="A8" s="9" t="s">
        <v>157</v>
      </c>
      <c r="B8" s="115"/>
      <c r="C8" s="115"/>
      <c r="D8" s="115"/>
      <c r="E8" s="142"/>
    </row>
    <row r="9" spans="1:5">
      <c r="A9" s="6" t="s">
        <v>158</v>
      </c>
      <c r="B9" s="114"/>
      <c r="C9" s="114"/>
      <c r="D9" s="114"/>
      <c r="E9" s="142"/>
    </row>
    <row r="10" spans="1:5">
      <c r="A10" s="9" t="s">
        <v>64</v>
      </c>
      <c r="B10" s="115">
        <f>+'COMPTE DE RESULTAT'!B100</f>
        <v>-591926.90902904863</v>
      </c>
      <c r="C10" s="115">
        <f>+'COMPTE DE RESULTAT'!D100</f>
        <v>-153323.3262666667</v>
      </c>
      <c r="D10" s="115">
        <f>+'COMPTE DE RESULTAT'!F100</f>
        <v>707596.45820799994</v>
      </c>
    </row>
    <row r="11" spans="1:5">
      <c r="A11" s="5" t="s">
        <v>159</v>
      </c>
      <c r="B11" s="116">
        <f>SUM(B3:B10)</f>
        <v>-321926.90902904863</v>
      </c>
      <c r="C11" s="116">
        <f>SUM(C3:C10)</f>
        <v>-153323.3262666667</v>
      </c>
      <c r="D11" s="116">
        <f>SUM(D3:D10)</f>
        <v>707596.45820799994</v>
      </c>
    </row>
    <row r="12" spans="1:5">
      <c r="A12" s="41" t="s">
        <v>160</v>
      </c>
      <c r="B12" s="113"/>
      <c r="C12" s="113"/>
      <c r="D12" s="113"/>
    </row>
    <row r="13" spans="1:5">
      <c r="A13" s="6" t="s">
        <v>161</v>
      </c>
      <c r="B13" s="114">
        <f>+Investissements!C7</f>
        <v>50000</v>
      </c>
      <c r="C13" s="114">
        <f>+Investissements!C23</f>
        <v>50000</v>
      </c>
      <c r="D13" s="114"/>
    </row>
    <row r="14" spans="1:5">
      <c r="A14" s="9" t="s">
        <v>162</v>
      </c>
      <c r="B14" s="115">
        <f>+Investissements!C10</f>
        <v>85000</v>
      </c>
      <c r="C14" s="115">
        <f>+Investissements!C24</f>
        <v>20000</v>
      </c>
      <c r="D14" s="115"/>
    </row>
    <row r="15" spans="1:5">
      <c r="A15" s="6" t="s">
        <v>163</v>
      </c>
      <c r="B15" s="114"/>
      <c r="C15" s="114"/>
      <c r="D15" s="114"/>
    </row>
    <row r="16" spans="1:5">
      <c r="A16" s="9" t="s">
        <v>164</v>
      </c>
      <c r="B16" s="115"/>
      <c r="C16" s="115"/>
      <c r="D16" s="115"/>
    </row>
    <row r="17" spans="1:4">
      <c r="A17" s="6" t="s">
        <v>123</v>
      </c>
      <c r="B17" s="114"/>
      <c r="C17" s="114"/>
      <c r="D17" s="114"/>
    </row>
    <row r="18" spans="1:4">
      <c r="A18" s="9" t="s">
        <v>165</v>
      </c>
      <c r="B18" s="115"/>
      <c r="C18" s="115">
        <v>50000</v>
      </c>
      <c r="D18" s="115"/>
    </row>
    <row r="19" spans="1:4">
      <c r="A19" s="6" t="s">
        <v>166</v>
      </c>
      <c r="B19" s="114"/>
      <c r="C19" s="114"/>
      <c r="D19" s="114"/>
    </row>
    <row r="20" spans="1:4">
      <c r="A20" s="9" t="s">
        <v>167</v>
      </c>
      <c r="B20" s="115"/>
      <c r="C20" s="115"/>
      <c r="D20" s="115"/>
    </row>
    <row r="21" spans="1:4">
      <c r="A21" s="6" t="s">
        <v>168</v>
      </c>
      <c r="B21" s="114"/>
      <c r="C21" s="114"/>
      <c r="D21" s="114"/>
    </row>
    <row r="22" spans="1:4">
      <c r="A22" s="10" t="s">
        <v>169</v>
      </c>
      <c r="B22" s="116">
        <f>SUM(B13:B21)</f>
        <v>135000</v>
      </c>
      <c r="C22" s="116">
        <f>SUM(C13:C21)</f>
        <v>120000</v>
      </c>
      <c r="D22" s="116">
        <f>SUM(D13:D21)</f>
        <v>0</v>
      </c>
    </row>
    <row r="23" spans="1:4">
      <c r="A23" s="110" t="s">
        <v>200</v>
      </c>
      <c r="B23" s="117">
        <f>+B11-B22</f>
        <v>-456926.90902904863</v>
      </c>
      <c r="C23" s="117">
        <f>+C11-C22+B23</f>
        <v>-730250.23529571528</v>
      </c>
      <c r="D23" s="118">
        <f>+D11-D22+C23</f>
        <v>-22653.777087715338</v>
      </c>
    </row>
    <row r="25" spans="1:4">
      <c r="A25" s="10" t="s">
        <v>198</v>
      </c>
      <c r="B25" s="116">
        <f>SUM(BILAN!B16:B29)-SUM(BILAN!G19:G32)</f>
        <v>-1004934.4147031965</v>
      </c>
      <c r="C25" s="116">
        <f>SUM(BILAN!C16:C29)-SUM(BILAN!H19:H32)</f>
        <v>-1533420.9545844749</v>
      </c>
      <c r="D25" s="116">
        <f>SUM(BILAN!D16:D29)-SUM(BILAN!I19:I32)</f>
        <v>-367918.48920021928</v>
      </c>
    </row>
    <row r="27" spans="1:4">
      <c r="A27" s="10" t="s">
        <v>199</v>
      </c>
      <c r="B27" s="119">
        <f>+B23-B25</f>
        <v>548007.50567414786</v>
      </c>
      <c r="C27" s="119">
        <f>+C23-C25</f>
        <v>803170.71928875963</v>
      </c>
      <c r="D27" s="119">
        <f>+D23-D25</f>
        <v>345264.71211250394</v>
      </c>
    </row>
    <row r="29" spans="1:4">
      <c r="A29" s="10" t="s">
        <v>201</v>
      </c>
      <c r="B29" s="119">
        <f>+BILAN!B30</f>
        <v>766634</v>
      </c>
      <c r="C29" s="119">
        <f>+BILAN!C30</f>
        <v>1579216</v>
      </c>
      <c r="D29" s="119">
        <f>+BILAN!D30</f>
        <v>1832417</v>
      </c>
    </row>
    <row r="30" spans="1:4">
      <c r="A30" s="111" t="s">
        <v>202</v>
      </c>
      <c r="B30" s="120">
        <f>+B27-B29</f>
        <v>-218626.49432585214</v>
      </c>
      <c r="C30" s="120">
        <f>+C27-C29</f>
        <v>-776045.28071124037</v>
      </c>
      <c r="D30" s="120">
        <f>+D27-D29</f>
        <v>-1487152.2878874959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6028-C21B-4E2B-9301-3A2099032B2D}">
  <dimension ref="A3:H31"/>
  <sheetViews>
    <sheetView showGridLines="0" workbookViewId="0">
      <selection activeCell="R14" sqref="R14"/>
    </sheetView>
  </sheetViews>
  <sheetFormatPr baseColWidth="10" defaultColWidth="9.1640625" defaultRowHeight="15"/>
  <cols>
    <col min="1" max="1" width="29.1640625" style="1" customWidth="1"/>
    <col min="2" max="2" width="12.5" style="12" customWidth="1"/>
    <col min="3" max="3" width="10.5" style="12" customWidth="1"/>
    <col min="4" max="4" width="11" style="12" customWidth="1"/>
    <col min="5" max="5" width="11.33203125" style="1" bestFit="1" customWidth="1"/>
    <col min="6" max="6" width="10.1640625" style="1" bestFit="1" customWidth="1"/>
    <col min="7" max="7" width="11.5" style="1" customWidth="1"/>
    <col min="8" max="8" width="10.33203125" style="1" bestFit="1" customWidth="1"/>
    <col min="9" max="256" width="9.1640625" style="1"/>
    <col min="257" max="257" width="29.1640625" style="1" customWidth="1"/>
    <col min="258" max="258" width="12.5" style="1" customWidth="1"/>
    <col min="259" max="259" width="10.5" style="1" customWidth="1"/>
    <col min="260" max="260" width="11" style="1" customWidth="1"/>
    <col min="261" max="261" width="9.1640625" style="1"/>
    <col min="262" max="262" width="9.33203125" style="1" customWidth="1"/>
    <col min="263" max="263" width="11.5" style="1" customWidth="1"/>
    <col min="264" max="512" width="9.1640625" style="1"/>
    <col min="513" max="513" width="29.1640625" style="1" customWidth="1"/>
    <col min="514" max="514" width="12.5" style="1" customWidth="1"/>
    <col min="515" max="515" width="10.5" style="1" customWidth="1"/>
    <col min="516" max="516" width="11" style="1" customWidth="1"/>
    <col min="517" max="517" width="9.1640625" style="1"/>
    <col min="518" max="518" width="9.33203125" style="1" customWidth="1"/>
    <col min="519" max="519" width="11.5" style="1" customWidth="1"/>
    <col min="520" max="768" width="9.1640625" style="1"/>
    <col min="769" max="769" width="29.1640625" style="1" customWidth="1"/>
    <col min="770" max="770" width="12.5" style="1" customWidth="1"/>
    <col min="771" max="771" width="10.5" style="1" customWidth="1"/>
    <col min="772" max="772" width="11" style="1" customWidth="1"/>
    <col min="773" max="773" width="9.1640625" style="1"/>
    <col min="774" max="774" width="9.33203125" style="1" customWidth="1"/>
    <col min="775" max="775" width="11.5" style="1" customWidth="1"/>
    <col min="776" max="1024" width="9.1640625" style="1"/>
    <col min="1025" max="1025" width="29.1640625" style="1" customWidth="1"/>
    <col min="1026" max="1026" width="12.5" style="1" customWidth="1"/>
    <col min="1027" max="1027" width="10.5" style="1" customWidth="1"/>
    <col min="1028" max="1028" width="11" style="1" customWidth="1"/>
    <col min="1029" max="1029" width="9.1640625" style="1"/>
    <col min="1030" max="1030" width="9.33203125" style="1" customWidth="1"/>
    <col min="1031" max="1031" width="11.5" style="1" customWidth="1"/>
    <col min="1032" max="1280" width="9.1640625" style="1"/>
    <col min="1281" max="1281" width="29.1640625" style="1" customWidth="1"/>
    <col min="1282" max="1282" width="12.5" style="1" customWidth="1"/>
    <col min="1283" max="1283" width="10.5" style="1" customWidth="1"/>
    <col min="1284" max="1284" width="11" style="1" customWidth="1"/>
    <col min="1285" max="1285" width="9.1640625" style="1"/>
    <col min="1286" max="1286" width="9.33203125" style="1" customWidth="1"/>
    <col min="1287" max="1287" width="11.5" style="1" customWidth="1"/>
    <col min="1288" max="1536" width="9.1640625" style="1"/>
    <col min="1537" max="1537" width="29.1640625" style="1" customWidth="1"/>
    <col min="1538" max="1538" width="12.5" style="1" customWidth="1"/>
    <col min="1539" max="1539" width="10.5" style="1" customWidth="1"/>
    <col min="1540" max="1540" width="11" style="1" customWidth="1"/>
    <col min="1541" max="1541" width="9.1640625" style="1"/>
    <col min="1542" max="1542" width="9.33203125" style="1" customWidth="1"/>
    <col min="1543" max="1543" width="11.5" style="1" customWidth="1"/>
    <col min="1544" max="1792" width="9.1640625" style="1"/>
    <col min="1793" max="1793" width="29.1640625" style="1" customWidth="1"/>
    <col min="1794" max="1794" width="12.5" style="1" customWidth="1"/>
    <col min="1795" max="1795" width="10.5" style="1" customWidth="1"/>
    <col min="1796" max="1796" width="11" style="1" customWidth="1"/>
    <col min="1797" max="1797" width="9.1640625" style="1"/>
    <col min="1798" max="1798" width="9.33203125" style="1" customWidth="1"/>
    <col min="1799" max="1799" width="11.5" style="1" customWidth="1"/>
    <col min="1800" max="2048" width="9.1640625" style="1"/>
    <col min="2049" max="2049" width="29.1640625" style="1" customWidth="1"/>
    <col min="2050" max="2050" width="12.5" style="1" customWidth="1"/>
    <col min="2051" max="2051" width="10.5" style="1" customWidth="1"/>
    <col min="2052" max="2052" width="11" style="1" customWidth="1"/>
    <col min="2053" max="2053" width="9.1640625" style="1"/>
    <col min="2054" max="2054" width="9.33203125" style="1" customWidth="1"/>
    <col min="2055" max="2055" width="11.5" style="1" customWidth="1"/>
    <col min="2056" max="2304" width="9.1640625" style="1"/>
    <col min="2305" max="2305" width="29.1640625" style="1" customWidth="1"/>
    <col min="2306" max="2306" width="12.5" style="1" customWidth="1"/>
    <col min="2307" max="2307" width="10.5" style="1" customWidth="1"/>
    <col min="2308" max="2308" width="11" style="1" customWidth="1"/>
    <col min="2309" max="2309" width="9.1640625" style="1"/>
    <col min="2310" max="2310" width="9.33203125" style="1" customWidth="1"/>
    <col min="2311" max="2311" width="11.5" style="1" customWidth="1"/>
    <col min="2312" max="2560" width="9.1640625" style="1"/>
    <col min="2561" max="2561" width="29.1640625" style="1" customWidth="1"/>
    <col min="2562" max="2562" width="12.5" style="1" customWidth="1"/>
    <col min="2563" max="2563" width="10.5" style="1" customWidth="1"/>
    <col min="2564" max="2564" width="11" style="1" customWidth="1"/>
    <col min="2565" max="2565" width="9.1640625" style="1"/>
    <col min="2566" max="2566" width="9.33203125" style="1" customWidth="1"/>
    <col min="2567" max="2567" width="11.5" style="1" customWidth="1"/>
    <col min="2568" max="2816" width="9.1640625" style="1"/>
    <col min="2817" max="2817" width="29.1640625" style="1" customWidth="1"/>
    <col min="2818" max="2818" width="12.5" style="1" customWidth="1"/>
    <col min="2819" max="2819" width="10.5" style="1" customWidth="1"/>
    <col min="2820" max="2820" width="11" style="1" customWidth="1"/>
    <col min="2821" max="2821" width="9.1640625" style="1"/>
    <col min="2822" max="2822" width="9.33203125" style="1" customWidth="1"/>
    <col min="2823" max="2823" width="11.5" style="1" customWidth="1"/>
    <col min="2824" max="3072" width="9.1640625" style="1"/>
    <col min="3073" max="3073" width="29.1640625" style="1" customWidth="1"/>
    <col min="3074" max="3074" width="12.5" style="1" customWidth="1"/>
    <col min="3075" max="3075" width="10.5" style="1" customWidth="1"/>
    <col min="3076" max="3076" width="11" style="1" customWidth="1"/>
    <col min="3077" max="3077" width="9.1640625" style="1"/>
    <col min="3078" max="3078" width="9.33203125" style="1" customWidth="1"/>
    <col min="3079" max="3079" width="11.5" style="1" customWidth="1"/>
    <col min="3080" max="3328" width="9.1640625" style="1"/>
    <col min="3329" max="3329" width="29.1640625" style="1" customWidth="1"/>
    <col min="3330" max="3330" width="12.5" style="1" customWidth="1"/>
    <col min="3331" max="3331" width="10.5" style="1" customWidth="1"/>
    <col min="3332" max="3332" width="11" style="1" customWidth="1"/>
    <col min="3333" max="3333" width="9.1640625" style="1"/>
    <col min="3334" max="3334" width="9.33203125" style="1" customWidth="1"/>
    <col min="3335" max="3335" width="11.5" style="1" customWidth="1"/>
    <col min="3336" max="3584" width="9.1640625" style="1"/>
    <col min="3585" max="3585" width="29.1640625" style="1" customWidth="1"/>
    <col min="3586" max="3586" width="12.5" style="1" customWidth="1"/>
    <col min="3587" max="3587" width="10.5" style="1" customWidth="1"/>
    <col min="3588" max="3588" width="11" style="1" customWidth="1"/>
    <col min="3589" max="3589" width="9.1640625" style="1"/>
    <col min="3590" max="3590" width="9.33203125" style="1" customWidth="1"/>
    <col min="3591" max="3591" width="11.5" style="1" customWidth="1"/>
    <col min="3592" max="3840" width="9.1640625" style="1"/>
    <col min="3841" max="3841" width="29.1640625" style="1" customWidth="1"/>
    <col min="3842" max="3842" width="12.5" style="1" customWidth="1"/>
    <col min="3843" max="3843" width="10.5" style="1" customWidth="1"/>
    <col min="3844" max="3844" width="11" style="1" customWidth="1"/>
    <col min="3845" max="3845" width="9.1640625" style="1"/>
    <col min="3846" max="3846" width="9.33203125" style="1" customWidth="1"/>
    <col min="3847" max="3847" width="11.5" style="1" customWidth="1"/>
    <col min="3848" max="4096" width="9.1640625" style="1"/>
    <col min="4097" max="4097" width="29.1640625" style="1" customWidth="1"/>
    <col min="4098" max="4098" width="12.5" style="1" customWidth="1"/>
    <col min="4099" max="4099" width="10.5" style="1" customWidth="1"/>
    <col min="4100" max="4100" width="11" style="1" customWidth="1"/>
    <col min="4101" max="4101" width="9.1640625" style="1"/>
    <col min="4102" max="4102" width="9.33203125" style="1" customWidth="1"/>
    <col min="4103" max="4103" width="11.5" style="1" customWidth="1"/>
    <col min="4104" max="4352" width="9.1640625" style="1"/>
    <col min="4353" max="4353" width="29.1640625" style="1" customWidth="1"/>
    <col min="4354" max="4354" width="12.5" style="1" customWidth="1"/>
    <col min="4355" max="4355" width="10.5" style="1" customWidth="1"/>
    <col min="4356" max="4356" width="11" style="1" customWidth="1"/>
    <col min="4357" max="4357" width="9.1640625" style="1"/>
    <col min="4358" max="4358" width="9.33203125" style="1" customWidth="1"/>
    <col min="4359" max="4359" width="11.5" style="1" customWidth="1"/>
    <col min="4360" max="4608" width="9.1640625" style="1"/>
    <col min="4609" max="4609" width="29.1640625" style="1" customWidth="1"/>
    <col min="4610" max="4610" width="12.5" style="1" customWidth="1"/>
    <col min="4611" max="4611" width="10.5" style="1" customWidth="1"/>
    <col min="4612" max="4612" width="11" style="1" customWidth="1"/>
    <col min="4613" max="4613" width="9.1640625" style="1"/>
    <col min="4614" max="4614" width="9.33203125" style="1" customWidth="1"/>
    <col min="4615" max="4615" width="11.5" style="1" customWidth="1"/>
    <col min="4616" max="4864" width="9.1640625" style="1"/>
    <col min="4865" max="4865" width="29.1640625" style="1" customWidth="1"/>
    <col min="4866" max="4866" width="12.5" style="1" customWidth="1"/>
    <col min="4867" max="4867" width="10.5" style="1" customWidth="1"/>
    <col min="4868" max="4868" width="11" style="1" customWidth="1"/>
    <col min="4869" max="4869" width="9.1640625" style="1"/>
    <col min="4870" max="4870" width="9.33203125" style="1" customWidth="1"/>
    <col min="4871" max="4871" width="11.5" style="1" customWidth="1"/>
    <col min="4872" max="5120" width="9.1640625" style="1"/>
    <col min="5121" max="5121" width="29.1640625" style="1" customWidth="1"/>
    <col min="5122" max="5122" width="12.5" style="1" customWidth="1"/>
    <col min="5123" max="5123" width="10.5" style="1" customWidth="1"/>
    <col min="5124" max="5124" width="11" style="1" customWidth="1"/>
    <col min="5125" max="5125" width="9.1640625" style="1"/>
    <col min="5126" max="5126" width="9.33203125" style="1" customWidth="1"/>
    <col min="5127" max="5127" width="11.5" style="1" customWidth="1"/>
    <col min="5128" max="5376" width="9.1640625" style="1"/>
    <col min="5377" max="5377" width="29.1640625" style="1" customWidth="1"/>
    <col min="5378" max="5378" width="12.5" style="1" customWidth="1"/>
    <col min="5379" max="5379" width="10.5" style="1" customWidth="1"/>
    <col min="5380" max="5380" width="11" style="1" customWidth="1"/>
    <col min="5381" max="5381" width="9.1640625" style="1"/>
    <col min="5382" max="5382" width="9.33203125" style="1" customWidth="1"/>
    <col min="5383" max="5383" width="11.5" style="1" customWidth="1"/>
    <col min="5384" max="5632" width="9.1640625" style="1"/>
    <col min="5633" max="5633" width="29.1640625" style="1" customWidth="1"/>
    <col min="5634" max="5634" width="12.5" style="1" customWidth="1"/>
    <col min="5635" max="5635" width="10.5" style="1" customWidth="1"/>
    <col min="5636" max="5636" width="11" style="1" customWidth="1"/>
    <col min="5637" max="5637" width="9.1640625" style="1"/>
    <col min="5638" max="5638" width="9.33203125" style="1" customWidth="1"/>
    <col min="5639" max="5639" width="11.5" style="1" customWidth="1"/>
    <col min="5640" max="5888" width="9.1640625" style="1"/>
    <col min="5889" max="5889" width="29.1640625" style="1" customWidth="1"/>
    <col min="5890" max="5890" width="12.5" style="1" customWidth="1"/>
    <col min="5891" max="5891" width="10.5" style="1" customWidth="1"/>
    <col min="5892" max="5892" width="11" style="1" customWidth="1"/>
    <col min="5893" max="5893" width="9.1640625" style="1"/>
    <col min="5894" max="5894" width="9.33203125" style="1" customWidth="1"/>
    <col min="5895" max="5895" width="11.5" style="1" customWidth="1"/>
    <col min="5896" max="6144" width="9.1640625" style="1"/>
    <col min="6145" max="6145" width="29.1640625" style="1" customWidth="1"/>
    <col min="6146" max="6146" width="12.5" style="1" customWidth="1"/>
    <col min="6147" max="6147" width="10.5" style="1" customWidth="1"/>
    <col min="6148" max="6148" width="11" style="1" customWidth="1"/>
    <col min="6149" max="6149" width="9.1640625" style="1"/>
    <col min="6150" max="6150" width="9.33203125" style="1" customWidth="1"/>
    <col min="6151" max="6151" width="11.5" style="1" customWidth="1"/>
    <col min="6152" max="6400" width="9.1640625" style="1"/>
    <col min="6401" max="6401" width="29.1640625" style="1" customWidth="1"/>
    <col min="6402" max="6402" width="12.5" style="1" customWidth="1"/>
    <col min="6403" max="6403" width="10.5" style="1" customWidth="1"/>
    <col min="6404" max="6404" width="11" style="1" customWidth="1"/>
    <col min="6405" max="6405" width="9.1640625" style="1"/>
    <col min="6406" max="6406" width="9.33203125" style="1" customWidth="1"/>
    <col min="6407" max="6407" width="11.5" style="1" customWidth="1"/>
    <col min="6408" max="6656" width="9.1640625" style="1"/>
    <col min="6657" max="6657" width="29.1640625" style="1" customWidth="1"/>
    <col min="6658" max="6658" width="12.5" style="1" customWidth="1"/>
    <col min="6659" max="6659" width="10.5" style="1" customWidth="1"/>
    <col min="6660" max="6660" width="11" style="1" customWidth="1"/>
    <col min="6661" max="6661" width="9.1640625" style="1"/>
    <col min="6662" max="6662" width="9.33203125" style="1" customWidth="1"/>
    <col min="6663" max="6663" width="11.5" style="1" customWidth="1"/>
    <col min="6664" max="6912" width="9.1640625" style="1"/>
    <col min="6913" max="6913" width="29.1640625" style="1" customWidth="1"/>
    <col min="6914" max="6914" width="12.5" style="1" customWidth="1"/>
    <col min="6915" max="6915" width="10.5" style="1" customWidth="1"/>
    <col min="6916" max="6916" width="11" style="1" customWidth="1"/>
    <col min="6917" max="6917" width="9.1640625" style="1"/>
    <col min="6918" max="6918" width="9.33203125" style="1" customWidth="1"/>
    <col min="6919" max="6919" width="11.5" style="1" customWidth="1"/>
    <col min="6920" max="7168" width="9.1640625" style="1"/>
    <col min="7169" max="7169" width="29.1640625" style="1" customWidth="1"/>
    <col min="7170" max="7170" width="12.5" style="1" customWidth="1"/>
    <col min="7171" max="7171" width="10.5" style="1" customWidth="1"/>
    <col min="7172" max="7172" width="11" style="1" customWidth="1"/>
    <col min="7173" max="7173" width="9.1640625" style="1"/>
    <col min="7174" max="7174" width="9.33203125" style="1" customWidth="1"/>
    <col min="7175" max="7175" width="11.5" style="1" customWidth="1"/>
    <col min="7176" max="7424" width="9.1640625" style="1"/>
    <col min="7425" max="7425" width="29.1640625" style="1" customWidth="1"/>
    <col min="7426" max="7426" width="12.5" style="1" customWidth="1"/>
    <col min="7427" max="7427" width="10.5" style="1" customWidth="1"/>
    <col min="7428" max="7428" width="11" style="1" customWidth="1"/>
    <col min="7429" max="7429" width="9.1640625" style="1"/>
    <col min="7430" max="7430" width="9.33203125" style="1" customWidth="1"/>
    <col min="7431" max="7431" width="11.5" style="1" customWidth="1"/>
    <col min="7432" max="7680" width="9.1640625" style="1"/>
    <col min="7681" max="7681" width="29.1640625" style="1" customWidth="1"/>
    <col min="7682" max="7682" width="12.5" style="1" customWidth="1"/>
    <col min="7683" max="7683" width="10.5" style="1" customWidth="1"/>
    <col min="7684" max="7684" width="11" style="1" customWidth="1"/>
    <col min="7685" max="7685" width="9.1640625" style="1"/>
    <col min="7686" max="7686" width="9.33203125" style="1" customWidth="1"/>
    <col min="7687" max="7687" width="11.5" style="1" customWidth="1"/>
    <col min="7688" max="7936" width="9.1640625" style="1"/>
    <col min="7937" max="7937" width="29.1640625" style="1" customWidth="1"/>
    <col min="7938" max="7938" width="12.5" style="1" customWidth="1"/>
    <col min="7939" max="7939" width="10.5" style="1" customWidth="1"/>
    <col min="7940" max="7940" width="11" style="1" customWidth="1"/>
    <col min="7941" max="7941" width="9.1640625" style="1"/>
    <col min="7942" max="7942" width="9.33203125" style="1" customWidth="1"/>
    <col min="7943" max="7943" width="11.5" style="1" customWidth="1"/>
    <col min="7944" max="8192" width="9.1640625" style="1"/>
    <col min="8193" max="8193" width="29.1640625" style="1" customWidth="1"/>
    <col min="8194" max="8194" width="12.5" style="1" customWidth="1"/>
    <col min="8195" max="8195" width="10.5" style="1" customWidth="1"/>
    <col min="8196" max="8196" width="11" style="1" customWidth="1"/>
    <col min="8197" max="8197" width="9.1640625" style="1"/>
    <col min="8198" max="8198" width="9.33203125" style="1" customWidth="1"/>
    <col min="8199" max="8199" width="11.5" style="1" customWidth="1"/>
    <col min="8200" max="8448" width="9.1640625" style="1"/>
    <col min="8449" max="8449" width="29.1640625" style="1" customWidth="1"/>
    <col min="8450" max="8450" width="12.5" style="1" customWidth="1"/>
    <col min="8451" max="8451" width="10.5" style="1" customWidth="1"/>
    <col min="8452" max="8452" width="11" style="1" customWidth="1"/>
    <col min="8453" max="8453" width="9.1640625" style="1"/>
    <col min="8454" max="8454" width="9.33203125" style="1" customWidth="1"/>
    <col min="8455" max="8455" width="11.5" style="1" customWidth="1"/>
    <col min="8456" max="8704" width="9.1640625" style="1"/>
    <col min="8705" max="8705" width="29.1640625" style="1" customWidth="1"/>
    <col min="8706" max="8706" width="12.5" style="1" customWidth="1"/>
    <col min="8707" max="8707" width="10.5" style="1" customWidth="1"/>
    <col min="8708" max="8708" width="11" style="1" customWidth="1"/>
    <col min="8709" max="8709" width="9.1640625" style="1"/>
    <col min="8710" max="8710" width="9.33203125" style="1" customWidth="1"/>
    <col min="8711" max="8711" width="11.5" style="1" customWidth="1"/>
    <col min="8712" max="8960" width="9.1640625" style="1"/>
    <col min="8961" max="8961" width="29.1640625" style="1" customWidth="1"/>
    <col min="8962" max="8962" width="12.5" style="1" customWidth="1"/>
    <col min="8963" max="8963" width="10.5" style="1" customWidth="1"/>
    <col min="8964" max="8964" width="11" style="1" customWidth="1"/>
    <col min="8965" max="8965" width="9.1640625" style="1"/>
    <col min="8966" max="8966" width="9.33203125" style="1" customWidth="1"/>
    <col min="8967" max="8967" width="11.5" style="1" customWidth="1"/>
    <col min="8968" max="9216" width="9.1640625" style="1"/>
    <col min="9217" max="9217" width="29.1640625" style="1" customWidth="1"/>
    <col min="9218" max="9218" width="12.5" style="1" customWidth="1"/>
    <col min="9219" max="9219" width="10.5" style="1" customWidth="1"/>
    <col min="9220" max="9220" width="11" style="1" customWidth="1"/>
    <col min="9221" max="9221" width="9.1640625" style="1"/>
    <col min="9222" max="9222" width="9.33203125" style="1" customWidth="1"/>
    <col min="9223" max="9223" width="11.5" style="1" customWidth="1"/>
    <col min="9224" max="9472" width="9.1640625" style="1"/>
    <col min="9473" max="9473" width="29.1640625" style="1" customWidth="1"/>
    <col min="9474" max="9474" width="12.5" style="1" customWidth="1"/>
    <col min="9475" max="9475" width="10.5" style="1" customWidth="1"/>
    <col min="9476" max="9476" width="11" style="1" customWidth="1"/>
    <col min="9477" max="9477" width="9.1640625" style="1"/>
    <col min="9478" max="9478" width="9.33203125" style="1" customWidth="1"/>
    <col min="9479" max="9479" width="11.5" style="1" customWidth="1"/>
    <col min="9480" max="9728" width="9.1640625" style="1"/>
    <col min="9729" max="9729" width="29.1640625" style="1" customWidth="1"/>
    <col min="9730" max="9730" width="12.5" style="1" customWidth="1"/>
    <col min="9731" max="9731" width="10.5" style="1" customWidth="1"/>
    <col min="9732" max="9732" width="11" style="1" customWidth="1"/>
    <col min="9733" max="9733" width="9.1640625" style="1"/>
    <col min="9734" max="9734" width="9.33203125" style="1" customWidth="1"/>
    <col min="9735" max="9735" width="11.5" style="1" customWidth="1"/>
    <col min="9736" max="9984" width="9.1640625" style="1"/>
    <col min="9985" max="9985" width="29.1640625" style="1" customWidth="1"/>
    <col min="9986" max="9986" width="12.5" style="1" customWidth="1"/>
    <col min="9987" max="9987" width="10.5" style="1" customWidth="1"/>
    <col min="9988" max="9988" width="11" style="1" customWidth="1"/>
    <col min="9989" max="9989" width="9.1640625" style="1"/>
    <col min="9990" max="9990" width="9.33203125" style="1" customWidth="1"/>
    <col min="9991" max="9991" width="11.5" style="1" customWidth="1"/>
    <col min="9992" max="10240" width="9.1640625" style="1"/>
    <col min="10241" max="10241" width="29.1640625" style="1" customWidth="1"/>
    <col min="10242" max="10242" width="12.5" style="1" customWidth="1"/>
    <col min="10243" max="10243" width="10.5" style="1" customWidth="1"/>
    <col min="10244" max="10244" width="11" style="1" customWidth="1"/>
    <col min="10245" max="10245" width="9.1640625" style="1"/>
    <col min="10246" max="10246" width="9.33203125" style="1" customWidth="1"/>
    <col min="10247" max="10247" width="11.5" style="1" customWidth="1"/>
    <col min="10248" max="10496" width="9.1640625" style="1"/>
    <col min="10497" max="10497" width="29.1640625" style="1" customWidth="1"/>
    <col min="10498" max="10498" width="12.5" style="1" customWidth="1"/>
    <col min="10499" max="10499" width="10.5" style="1" customWidth="1"/>
    <col min="10500" max="10500" width="11" style="1" customWidth="1"/>
    <col min="10501" max="10501" width="9.1640625" style="1"/>
    <col min="10502" max="10502" width="9.33203125" style="1" customWidth="1"/>
    <col min="10503" max="10503" width="11.5" style="1" customWidth="1"/>
    <col min="10504" max="10752" width="9.1640625" style="1"/>
    <col min="10753" max="10753" width="29.1640625" style="1" customWidth="1"/>
    <col min="10754" max="10754" width="12.5" style="1" customWidth="1"/>
    <col min="10755" max="10755" width="10.5" style="1" customWidth="1"/>
    <col min="10756" max="10756" width="11" style="1" customWidth="1"/>
    <col min="10757" max="10757" width="9.1640625" style="1"/>
    <col min="10758" max="10758" width="9.33203125" style="1" customWidth="1"/>
    <col min="10759" max="10759" width="11.5" style="1" customWidth="1"/>
    <col min="10760" max="11008" width="9.1640625" style="1"/>
    <col min="11009" max="11009" width="29.1640625" style="1" customWidth="1"/>
    <col min="11010" max="11010" width="12.5" style="1" customWidth="1"/>
    <col min="11011" max="11011" width="10.5" style="1" customWidth="1"/>
    <col min="11012" max="11012" width="11" style="1" customWidth="1"/>
    <col min="11013" max="11013" width="9.1640625" style="1"/>
    <col min="11014" max="11014" width="9.33203125" style="1" customWidth="1"/>
    <col min="11015" max="11015" width="11.5" style="1" customWidth="1"/>
    <col min="11016" max="11264" width="9.1640625" style="1"/>
    <col min="11265" max="11265" width="29.1640625" style="1" customWidth="1"/>
    <col min="11266" max="11266" width="12.5" style="1" customWidth="1"/>
    <col min="11267" max="11267" width="10.5" style="1" customWidth="1"/>
    <col min="11268" max="11268" width="11" style="1" customWidth="1"/>
    <col min="11269" max="11269" width="9.1640625" style="1"/>
    <col min="11270" max="11270" width="9.33203125" style="1" customWidth="1"/>
    <col min="11271" max="11271" width="11.5" style="1" customWidth="1"/>
    <col min="11272" max="11520" width="9.1640625" style="1"/>
    <col min="11521" max="11521" width="29.1640625" style="1" customWidth="1"/>
    <col min="11522" max="11522" width="12.5" style="1" customWidth="1"/>
    <col min="11523" max="11523" width="10.5" style="1" customWidth="1"/>
    <col min="11524" max="11524" width="11" style="1" customWidth="1"/>
    <col min="11525" max="11525" width="9.1640625" style="1"/>
    <col min="11526" max="11526" width="9.33203125" style="1" customWidth="1"/>
    <col min="11527" max="11527" width="11.5" style="1" customWidth="1"/>
    <col min="11528" max="11776" width="9.1640625" style="1"/>
    <col min="11777" max="11777" width="29.1640625" style="1" customWidth="1"/>
    <col min="11778" max="11778" width="12.5" style="1" customWidth="1"/>
    <col min="11779" max="11779" width="10.5" style="1" customWidth="1"/>
    <col min="11780" max="11780" width="11" style="1" customWidth="1"/>
    <col min="11781" max="11781" width="9.1640625" style="1"/>
    <col min="11782" max="11782" width="9.33203125" style="1" customWidth="1"/>
    <col min="11783" max="11783" width="11.5" style="1" customWidth="1"/>
    <col min="11784" max="12032" width="9.1640625" style="1"/>
    <col min="12033" max="12033" width="29.1640625" style="1" customWidth="1"/>
    <col min="12034" max="12034" width="12.5" style="1" customWidth="1"/>
    <col min="12035" max="12035" width="10.5" style="1" customWidth="1"/>
    <col min="12036" max="12036" width="11" style="1" customWidth="1"/>
    <col min="12037" max="12037" width="9.1640625" style="1"/>
    <col min="12038" max="12038" width="9.33203125" style="1" customWidth="1"/>
    <col min="12039" max="12039" width="11.5" style="1" customWidth="1"/>
    <col min="12040" max="12288" width="9.1640625" style="1"/>
    <col min="12289" max="12289" width="29.1640625" style="1" customWidth="1"/>
    <col min="12290" max="12290" width="12.5" style="1" customWidth="1"/>
    <col min="12291" max="12291" width="10.5" style="1" customWidth="1"/>
    <col min="12292" max="12292" width="11" style="1" customWidth="1"/>
    <col min="12293" max="12293" width="9.1640625" style="1"/>
    <col min="12294" max="12294" width="9.33203125" style="1" customWidth="1"/>
    <col min="12295" max="12295" width="11.5" style="1" customWidth="1"/>
    <col min="12296" max="12544" width="9.1640625" style="1"/>
    <col min="12545" max="12545" width="29.1640625" style="1" customWidth="1"/>
    <col min="12546" max="12546" width="12.5" style="1" customWidth="1"/>
    <col min="12547" max="12547" width="10.5" style="1" customWidth="1"/>
    <col min="12548" max="12548" width="11" style="1" customWidth="1"/>
    <col min="12549" max="12549" width="9.1640625" style="1"/>
    <col min="12550" max="12550" width="9.33203125" style="1" customWidth="1"/>
    <col min="12551" max="12551" width="11.5" style="1" customWidth="1"/>
    <col min="12552" max="12800" width="9.1640625" style="1"/>
    <col min="12801" max="12801" width="29.1640625" style="1" customWidth="1"/>
    <col min="12802" max="12802" width="12.5" style="1" customWidth="1"/>
    <col min="12803" max="12803" width="10.5" style="1" customWidth="1"/>
    <col min="12804" max="12804" width="11" style="1" customWidth="1"/>
    <col min="12805" max="12805" width="9.1640625" style="1"/>
    <col min="12806" max="12806" width="9.33203125" style="1" customWidth="1"/>
    <col min="12807" max="12807" width="11.5" style="1" customWidth="1"/>
    <col min="12808" max="13056" width="9.1640625" style="1"/>
    <col min="13057" max="13057" width="29.1640625" style="1" customWidth="1"/>
    <col min="13058" max="13058" width="12.5" style="1" customWidth="1"/>
    <col min="13059" max="13059" width="10.5" style="1" customWidth="1"/>
    <col min="13060" max="13060" width="11" style="1" customWidth="1"/>
    <col min="13061" max="13061" width="9.1640625" style="1"/>
    <col min="13062" max="13062" width="9.33203125" style="1" customWidth="1"/>
    <col min="13063" max="13063" width="11.5" style="1" customWidth="1"/>
    <col min="13064" max="13312" width="9.1640625" style="1"/>
    <col min="13313" max="13313" width="29.1640625" style="1" customWidth="1"/>
    <col min="13314" max="13314" width="12.5" style="1" customWidth="1"/>
    <col min="13315" max="13315" width="10.5" style="1" customWidth="1"/>
    <col min="13316" max="13316" width="11" style="1" customWidth="1"/>
    <col min="13317" max="13317" width="9.1640625" style="1"/>
    <col min="13318" max="13318" width="9.33203125" style="1" customWidth="1"/>
    <col min="13319" max="13319" width="11.5" style="1" customWidth="1"/>
    <col min="13320" max="13568" width="9.1640625" style="1"/>
    <col min="13569" max="13569" width="29.1640625" style="1" customWidth="1"/>
    <col min="13570" max="13570" width="12.5" style="1" customWidth="1"/>
    <col min="13571" max="13571" width="10.5" style="1" customWidth="1"/>
    <col min="13572" max="13572" width="11" style="1" customWidth="1"/>
    <col min="13573" max="13573" width="9.1640625" style="1"/>
    <col min="13574" max="13574" width="9.33203125" style="1" customWidth="1"/>
    <col min="13575" max="13575" width="11.5" style="1" customWidth="1"/>
    <col min="13576" max="13824" width="9.1640625" style="1"/>
    <col min="13825" max="13825" width="29.1640625" style="1" customWidth="1"/>
    <col min="13826" max="13826" width="12.5" style="1" customWidth="1"/>
    <col min="13827" max="13827" width="10.5" style="1" customWidth="1"/>
    <col min="13828" max="13828" width="11" style="1" customWidth="1"/>
    <col min="13829" max="13829" width="9.1640625" style="1"/>
    <col min="13830" max="13830" width="9.33203125" style="1" customWidth="1"/>
    <col min="13831" max="13831" width="11.5" style="1" customWidth="1"/>
    <col min="13832" max="14080" width="9.1640625" style="1"/>
    <col min="14081" max="14081" width="29.1640625" style="1" customWidth="1"/>
    <col min="14082" max="14082" width="12.5" style="1" customWidth="1"/>
    <col min="14083" max="14083" width="10.5" style="1" customWidth="1"/>
    <col min="14084" max="14084" width="11" style="1" customWidth="1"/>
    <col min="14085" max="14085" width="9.1640625" style="1"/>
    <col min="14086" max="14086" width="9.33203125" style="1" customWidth="1"/>
    <col min="14087" max="14087" width="11.5" style="1" customWidth="1"/>
    <col min="14088" max="14336" width="9.1640625" style="1"/>
    <col min="14337" max="14337" width="29.1640625" style="1" customWidth="1"/>
    <col min="14338" max="14338" width="12.5" style="1" customWidth="1"/>
    <col min="14339" max="14339" width="10.5" style="1" customWidth="1"/>
    <col min="14340" max="14340" width="11" style="1" customWidth="1"/>
    <col min="14341" max="14341" width="9.1640625" style="1"/>
    <col min="14342" max="14342" width="9.33203125" style="1" customWidth="1"/>
    <col min="14343" max="14343" width="11.5" style="1" customWidth="1"/>
    <col min="14344" max="14592" width="9.1640625" style="1"/>
    <col min="14593" max="14593" width="29.1640625" style="1" customWidth="1"/>
    <col min="14594" max="14594" width="12.5" style="1" customWidth="1"/>
    <col min="14595" max="14595" width="10.5" style="1" customWidth="1"/>
    <col min="14596" max="14596" width="11" style="1" customWidth="1"/>
    <col min="14597" max="14597" width="9.1640625" style="1"/>
    <col min="14598" max="14598" width="9.33203125" style="1" customWidth="1"/>
    <col min="14599" max="14599" width="11.5" style="1" customWidth="1"/>
    <col min="14600" max="14848" width="9.1640625" style="1"/>
    <col min="14849" max="14849" width="29.1640625" style="1" customWidth="1"/>
    <col min="14850" max="14850" width="12.5" style="1" customWidth="1"/>
    <col min="14851" max="14851" width="10.5" style="1" customWidth="1"/>
    <col min="14852" max="14852" width="11" style="1" customWidth="1"/>
    <col min="14853" max="14853" width="9.1640625" style="1"/>
    <col min="14854" max="14854" width="9.33203125" style="1" customWidth="1"/>
    <col min="14855" max="14855" width="11.5" style="1" customWidth="1"/>
    <col min="14856" max="15104" width="9.1640625" style="1"/>
    <col min="15105" max="15105" width="29.1640625" style="1" customWidth="1"/>
    <col min="15106" max="15106" width="12.5" style="1" customWidth="1"/>
    <col min="15107" max="15107" width="10.5" style="1" customWidth="1"/>
    <col min="15108" max="15108" width="11" style="1" customWidth="1"/>
    <col min="15109" max="15109" width="9.1640625" style="1"/>
    <col min="15110" max="15110" width="9.33203125" style="1" customWidth="1"/>
    <col min="15111" max="15111" width="11.5" style="1" customWidth="1"/>
    <col min="15112" max="15360" width="9.1640625" style="1"/>
    <col min="15361" max="15361" width="29.1640625" style="1" customWidth="1"/>
    <col min="15362" max="15362" width="12.5" style="1" customWidth="1"/>
    <col min="15363" max="15363" width="10.5" style="1" customWidth="1"/>
    <col min="15364" max="15364" width="11" style="1" customWidth="1"/>
    <col min="15365" max="15365" width="9.1640625" style="1"/>
    <col min="15366" max="15366" width="9.33203125" style="1" customWidth="1"/>
    <col min="15367" max="15367" width="11.5" style="1" customWidth="1"/>
    <col min="15368" max="15616" width="9.1640625" style="1"/>
    <col min="15617" max="15617" width="29.1640625" style="1" customWidth="1"/>
    <col min="15618" max="15618" width="12.5" style="1" customWidth="1"/>
    <col min="15619" max="15619" width="10.5" style="1" customWidth="1"/>
    <col min="15620" max="15620" width="11" style="1" customWidth="1"/>
    <col min="15621" max="15621" width="9.1640625" style="1"/>
    <col min="15622" max="15622" width="9.33203125" style="1" customWidth="1"/>
    <col min="15623" max="15623" width="11.5" style="1" customWidth="1"/>
    <col min="15624" max="15872" width="9.1640625" style="1"/>
    <col min="15873" max="15873" width="29.1640625" style="1" customWidth="1"/>
    <col min="15874" max="15874" width="12.5" style="1" customWidth="1"/>
    <col min="15875" max="15875" width="10.5" style="1" customWidth="1"/>
    <col min="15876" max="15876" width="11" style="1" customWidth="1"/>
    <col min="15877" max="15877" width="9.1640625" style="1"/>
    <col min="15878" max="15878" width="9.33203125" style="1" customWidth="1"/>
    <col min="15879" max="15879" width="11.5" style="1" customWidth="1"/>
    <col min="15880" max="16128" width="9.1640625" style="1"/>
    <col min="16129" max="16129" width="29.1640625" style="1" customWidth="1"/>
    <col min="16130" max="16130" width="12.5" style="1" customWidth="1"/>
    <col min="16131" max="16131" width="10.5" style="1" customWidth="1"/>
    <col min="16132" max="16132" width="11" style="1" customWidth="1"/>
    <col min="16133" max="16133" width="9.1640625" style="1"/>
    <col min="16134" max="16134" width="9.33203125" style="1" customWidth="1"/>
    <col min="16135" max="16135" width="11.5" style="1" customWidth="1"/>
    <col min="16136" max="16384" width="9.1640625" style="1"/>
  </cols>
  <sheetData>
    <row r="3" spans="1:8" ht="29">
      <c r="A3" s="333" t="s">
        <v>170</v>
      </c>
      <c r="B3" s="334"/>
      <c r="C3" s="334"/>
      <c r="D3" s="334"/>
      <c r="E3" s="334"/>
      <c r="F3" s="334"/>
      <c r="G3" s="335"/>
    </row>
    <row r="4" spans="1:8" ht="30.75" customHeight="1">
      <c r="A4" s="325" t="s">
        <v>1</v>
      </c>
      <c r="B4" s="325"/>
      <c r="C4" s="325"/>
      <c r="D4" s="325"/>
      <c r="E4" s="325"/>
      <c r="F4" s="325"/>
      <c r="G4" s="325"/>
    </row>
    <row r="5" spans="1:8" ht="15" customHeight="1"/>
    <row r="6" spans="1:8" ht="15" customHeight="1">
      <c r="A6" s="41">
        <v>2019</v>
      </c>
      <c r="B6" s="42" t="s">
        <v>77</v>
      </c>
      <c r="C6" s="42" t="s">
        <v>171</v>
      </c>
      <c r="D6" s="42" t="s">
        <v>172</v>
      </c>
      <c r="E6" s="42" t="s">
        <v>173</v>
      </c>
      <c r="F6" s="42" t="s">
        <v>174</v>
      </c>
      <c r="G6" s="42" t="s">
        <v>175</v>
      </c>
      <c r="H6" s="42" t="s">
        <v>176</v>
      </c>
    </row>
    <row r="7" spans="1:8">
      <c r="A7" s="6" t="s">
        <v>177</v>
      </c>
      <c r="B7" s="43"/>
      <c r="C7" s="43"/>
      <c r="D7" s="43"/>
      <c r="E7" s="43"/>
      <c r="F7" s="43"/>
      <c r="G7" s="43"/>
      <c r="H7" s="43"/>
    </row>
    <row r="8" spans="1:8">
      <c r="A8" s="10" t="s">
        <v>178</v>
      </c>
      <c r="B8" s="44"/>
      <c r="C8" s="44"/>
      <c r="D8" s="44"/>
      <c r="E8" s="44"/>
      <c r="F8" s="44"/>
      <c r="G8" s="44"/>
      <c r="H8" s="44"/>
    </row>
    <row r="9" spans="1:8">
      <c r="A9" s="6" t="s">
        <v>179</v>
      </c>
      <c r="B9" s="43"/>
      <c r="C9" s="43"/>
      <c r="D9" s="43"/>
      <c r="E9" s="43"/>
      <c r="F9" s="43"/>
      <c r="G9" s="43"/>
      <c r="H9" s="43"/>
    </row>
    <row r="10" spans="1:8">
      <c r="A10" s="8"/>
      <c r="B10" s="7"/>
      <c r="C10" s="7"/>
      <c r="D10" s="7"/>
      <c r="E10" s="7"/>
      <c r="F10" s="7"/>
      <c r="G10" s="7"/>
      <c r="H10" s="7"/>
    </row>
    <row r="11" spans="1:8">
      <c r="A11" s="11"/>
      <c r="B11" s="45"/>
      <c r="C11" s="45"/>
      <c r="D11" s="45"/>
      <c r="E11" s="45"/>
      <c r="F11" s="45"/>
      <c r="G11" s="45"/>
      <c r="H11" s="45"/>
    </row>
    <row r="12" spans="1:8">
      <c r="A12" s="8" t="s">
        <v>272</v>
      </c>
      <c r="B12" s="7" t="s">
        <v>273</v>
      </c>
      <c r="C12" s="7">
        <v>60</v>
      </c>
      <c r="D12" s="7">
        <v>3</v>
      </c>
      <c r="E12" s="7">
        <v>50000</v>
      </c>
      <c r="F12" s="7"/>
      <c r="G12" s="7">
        <f>+E12+F12</f>
        <v>50000</v>
      </c>
      <c r="H12" s="7">
        <f>+E12*D12%</f>
        <v>1500</v>
      </c>
    </row>
    <row r="13" spans="1:8">
      <c r="A13" s="10" t="s">
        <v>178</v>
      </c>
      <c r="B13" s="44"/>
      <c r="C13" s="44"/>
      <c r="D13" s="44"/>
      <c r="E13" s="44">
        <f>SUM(E10:E12)</f>
        <v>50000</v>
      </c>
      <c r="F13" s="44">
        <f>SUM(F10:F12)</f>
        <v>0</v>
      </c>
      <c r="G13" s="44">
        <f>SUM(G10:G12)</f>
        <v>50000</v>
      </c>
      <c r="H13" s="44">
        <f>SUM(H10:H12)</f>
        <v>1500</v>
      </c>
    </row>
    <row r="14" spans="1:8">
      <c r="A14" s="10" t="s">
        <v>182</v>
      </c>
      <c r="B14" s="44"/>
      <c r="C14" s="44"/>
      <c r="D14" s="44"/>
      <c r="E14" s="44">
        <f>+E13+E8</f>
        <v>50000</v>
      </c>
      <c r="F14" s="44">
        <f>+F13+F8</f>
        <v>0</v>
      </c>
      <c r="G14" s="44">
        <f>+G13+G8</f>
        <v>50000</v>
      </c>
      <c r="H14" s="44">
        <f>+H13+H8</f>
        <v>1500</v>
      </c>
    </row>
    <row r="15" spans="1:8" ht="15" customHeight="1">
      <c r="A15" s="46" t="s">
        <v>183</v>
      </c>
      <c r="B15" s="47"/>
      <c r="C15" s="47"/>
      <c r="D15" s="47"/>
      <c r="E15" s="47"/>
      <c r="F15" s="47"/>
      <c r="G15" s="47"/>
      <c r="H15" s="47"/>
    </row>
    <row r="16" spans="1:8" ht="15" customHeight="1">
      <c r="A16" s="41">
        <v>2020</v>
      </c>
      <c r="B16" s="42" t="s">
        <v>77</v>
      </c>
      <c r="C16" s="42" t="s">
        <v>171</v>
      </c>
      <c r="D16" s="42" t="s">
        <v>172</v>
      </c>
      <c r="E16" s="42" t="s">
        <v>173</v>
      </c>
      <c r="F16" s="42" t="s">
        <v>174</v>
      </c>
      <c r="G16" s="42" t="s">
        <v>175</v>
      </c>
      <c r="H16" s="42" t="s">
        <v>176</v>
      </c>
    </row>
    <row r="17" spans="1:8">
      <c r="A17" s="6" t="s">
        <v>177</v>
      </c>
      <c r="B17" s="43"/>
      <c r="C17" s="43"/>
      <c r="D17" s="43"/>
      <c r="E17" s="43"/>
      <c r="F17" s="43"/>
      <c r="G17" s="43"/>
      <c r="H17" s="43"/>
    </row>
    <row r="18" spans="1:8">
      <c r="A18" s="8"/>
      <c r="B18" s="7"/>
      <c r="C18" s="7"/>
      <c r="D18" s="7"/>
      <c r="E18" s="7"/>
      <c r="F18" s="7"/>
      <c r="G18" s="7"/>
      <c r="H18" s="7"/>
    </row>
    <row r="19" spans="1:8">
      <c r="A19" s="11"/>
      <c r="B19" s="45"/>
      <c r="C19" s="45"/>
      <c r="D19" s="45"/>
      <c r="E19" s="45"/>
      <c r="F19" s="45"/>
      <c r="G19" s="45"/>
      <c r="H19" s="45"/>
    </row>
    <row r="20" spans="1:8">
      <c r="A20" s="8" t="s">
        <v>181</v>
      </c>
      <c r="B20" s="7" t="s">
        <v>273</v>
      </c>
      <c r="C20" s="7">
        <v>60</v>
      </c>
      <c r="D20" s="7">
        <v>3</v>
      </c>
      <c r="E20" s="7">
        <v>50000</v>
      </c>
      <c r="F20" s="7">
        <v>-50000</v>
      </c>
      <c r="G20" s="7">
        <f>+E20+F20</f>
        <v>0</v>
      </c>
      <c r="H20" s="7">
        <f>+E20*D20%</f>
        <v>1500</v>
      </c>
    </row>
    <row r="21" spans="1:8">
      <c r="A21" s="10" t="s">
        <v>178</v>
      </c>
      <c r="B21" s="44"/>
      <c r="C21" s="44"/>
      <c r="D21" s="44"/>
      <c r="E21" s="44">
        <f>SUM(E18:E20)</f>
        <v>50000</v>
      </c>
      <c r="F21" s="44">
        <f>SUM(F18:F20)</f>
        <v>-50000</v>
      </c>
      <c r="G21" s="44">
        <f>SUM(G18:G20)</f>
        <v>0</v>
      </c>
      <c r="H21" s="44">
        <f>SUM(H18:H20)</f>
        <v>1500</v>
      </c>
    </row>
    <row r="22" spans="1:8">
      <c r="A22" s="10" t="s">
        <v>182</v>
      </c>
      <c r="B22" s="44"/>
      <c r="C22" s="44"/>
      <c r="D22" s="44"/>
      <c r="E22" s="44">
        <f>+E21</f>
        <v>50000</v>
      </c>
      <c r="F22" s="44">
        <f>+F21</f>
        <v>-50000</v>
      </c>
      <c r="G22" s="44">
        <f>+G21</f>
        <v>0</v>
      </c>
      <c r="H22" s="44">
        <f>+H21</f>
        <v>1500</v>
      </c>
    </row>
    <row r="23" spans="1:8" ht="15" customHeight="1">
      <c r="A23" s="46" t="s">
        <v>183</v>
      </c>
      <c r="B23" s="47"/>
      <c r="C23" s="47"/>
      <c r="D23" s="47"/>
      <c r="E23" s="47"/>
      <c r="F23" s="47"/>
      <c r="G23" s="47"/>
      <c r="H23" s="47"/>
    </row>
    <row r="24" spans="1:8" ht="15" customHeight="1">
      <c r="A24" s="41">
        <v>2021</v>
      </c>
      <c r="B24" s="42" t="s">
        <v>77</v>
      </c>
      <c r="C24" s="42" t="s">
        <v>171</v>
      </c>
      <c r="D24" s="42" t="s">
        <v>172</v>
      </c>
      <c r="E24" s="42" t="s">
        <v>173</v>
      </c>
      <c r="F24" s="42" t="s">
        <v>174</v>
      </c>
      <c r="G24" s="42" t="s">
        <v>175</v>
      </c>
      <c r="H24" s="42" t="s">
        <v>176</v>
      </c>
    </row>
    <row r="25" spans="1:8">
      <c r="A25" s="6" t="s">
        <v>177</v>
      </c>
      <c r="B25" s="43"/>
      <c r="C25" s="43"/>
      <c r="D25" s="43"/>
      <c r="E25" s="43"/>
      <c r="F25" s="43"/>
      <c r="G25" s="43"/>
      <c r="H25" s="43"/>
    </row>
    <row r="26" spans="1:8">
      <c r="A26" s="8"/>
      <c r="B26" s="7"/>
      <c r="C26" s="7"/>
      <c r="D26" s="7"/>
      <c r="E26" s="7"/>
      <c r="F26" s="7"/>
      <c r="G26" s="7"/>
      <c r="H26" s="7"/>
    </row>
    <row r="27" spans="1:8">
      <c r="A27" s="11"/>
      <c r="B27" s="45"/>
      <c r="C27" s="45"/>
      <c r="D27" s="45"/>
      <c r="E27" s="45"/>
      <c r="F27" s="45"/>
      <c r="G27" s="45"/>
      <c r="H27" s="45"/>
    </row>
    <row r="28" spans="1:8">
      <c r="A28" s="8" t="s">
        <v>181</v>
      </c>
      <c r="B28" s="7" t="s">
        <v>273</v>
      </c>
      <c r="C28" s="7">
        <v>60</v>
      </c>
      <c r="D28" s="7" t="s">
        <v>180</v>
      </c>
      <c r="E28" s="7">
        <v>50000</v>
      </c>
      <c r="F28" s="7">
        <v>-50000</v>
      </c>
      <c r="G28" s="7">
        <f>+E28+F28</f>
        <v>0</v>
      </c>
      <c r="H28" s="7"/>
    </row>
    <row r="29" spans="1:8">
      <c r="A29" s="10" t="s">
        <v>178</v>
      </c>
      <c r="B29" s="44"/>
      <c r="C29" s="44"/>
      <c r="D29" s="44"/>
      <c r="E29" s="44">
        <f>SUM(E26:E28)</f>
        <v>50000</v>
      </c>
      <c r="F29" s="44">
        <f>SUM(F26:F28)</f>
        <v>-50000</v>
      </c>
      <c r="G29" s="44">
        <f>SUM(G26:G28)</f>
        <v>0</v>
      </c>
      <c r="H29" s="44">
        <f>SUM(H26:H28)</f>
        <v>0</v>
      </c>
    </row>
    <row r="30" spans="1:8">
      <c r="A30" s="10" t="s">
        <v>182</v>
      </c>
      <c r="B30" s="44"/>
      <c r="C30" s="44"/>
      <c r="D30" s="44"/>
      <c r="E30" s="44">
        <f>+E29</f>
        <v>50000</v>
      </c>
      <c r="F30" s="44">
        <f>+F29</f>
        <v>-50000</v>
      </c>
      <c r="G30" s="44">
        <f>+G29</f>
        <v>0</v>
      </c>
      <c r="H30" s="44">
        <f>+H29</f>
        <v>0</v>
      </c>
    </row>
    <row r="31" spans="1:8" ht="15" customHeight="1">
      <c r="A31" s="46" t="s">
        <v>183</v>
      </c>
      <c r="B31" s="47"/>
      <c r="C31" s="47"/>
      <c r="D31" s="47"/>
      <c r="E31" s="47"/>
      <c r="F31" s="47"/>
      <c r="G31" s="47"/>
      <c r="H31" s="47"/>
    </row>
  </sheetData>
  <mergeCells count="2"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COMPTE DE RESULTAT</vt:lpstr>
      <vt:lpstr>Ventes - product mix</vt:lpstr>
      <vt:lpstr>Cout de production</vt:lpstr>
      <vt:lpstr>charge du personnel</vt:lpstr>
      <vt:lpstr>charges de structure</vt:lpstr>
      <vt:lpstr>Investissements</vt:lpstr>
      <vt:lpstr>BILAN</vt:lpstr>
      <vt:lpstr>Tableau des emplois ressources</vt:lpstr>
      <vt:lpstr>financement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2019-02-04T10:15:07Z</cp:lastPrinted>
  <dcterms:created xsi:type="dcterms:W3CDTF">2015-06-05T18:19:34Z</dcterms:created>
  <dcterms:modified xsi:type="dcterms:W3CDTF">2019-02-05T08:32:15Z</dcterms:modified>
</cp:coreProperties>
</file>