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activeX/activeX5.xml" ContentType="application/vnd.ms-office.activeX+xml"/>
  <Override PartName="/xl/activeX/activeX3.bin" ContentType="application/vnd.ms-office.activeX"/>
  <Override PartName="/xl/activeX/activeX5.bin" ContentType="application/vnd.ms-office.activeX"/>
  <Override PartName="/xl/activeX/activeX4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2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4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ilisateur\SynologyDrive\3 - Programmes en cours\Briscous - Bourg\Bilan\"/>
    </mc:Choice>
  </mc:AlternateContent>
  <xr:revisionPtr revIDLastSave="0" documentId="13_ncr:1_{2E3971A2-07FC-4D71-894C-381285993208}" xr6:coauthVersionLast="47" xr6:coauthVersionMax="47" xr10:uidLastSave="{00000000-0000-0000-0000-000000000000}"/>
  <workbookProtection workbookAlgorithmName="SHA-512" workbookHashValue="njdoeUExoQNX+VeJoCddiHkA6YV6sEcce8ZJkM964d0Gl6FMGGzpDHkcOcwvh6/fXQWzlOMPyPk0qXfdhMbpYQ==" workbookSaltValue="S1UOzsLgpupLsu3m6Oy6Mw==" workbookSpinCount="100000" lockStructure="1"/>
  <bookViews>
    <workbookView xWindow="-108" yWindow="-108" windowWidth="23256" windowHeight="12576" tabRatio="601" firstSheet="2" activeTab="2" xr2:uid="{00000000-000D-0000-FFFF-FFFF00000000}"/>
  </bookViews>
  <sheets>
    <sheet name="CALCU" sheetId="1" state="hidden" r:id="rId1"/>
    <sheet name="STAND" sheetId="2" state="hidden" r:id="rId2"/>
    <sheet name="BILAN" sheetId="3" r:id="rId3"/>
    <sheet name="TRESO" sheetId="4" r:id="rId4"/>
  </sheets>
  <definedNames>
    <definedName name="_MT1" localSheetId="2">BILAN!$E$16:$E$26,BILAN!$G$16:$G$26,BILAN!$K$16:$K$17,BILAN!$M$16:$M$17,BILAN!$K$19,BILAN!$M$19,BILAN!$K$25:$K$26,BILAN!$M$25:$M$26</definedName>
    <definedName name="_mt1">TRESO!$N$6,TRESO!$E$20:$E$21,TRESO!$G$20:$G$21,TRESO!$I$20:$I$21,TRESO!$K$20:$K$21,TRESO!$M$20:$M$21,TRESO!$E$26:$E$34,TRESO!$G$26:$G$34,TRESO!$I$26:$I$34,TRESO!$K$26:$K$34,TRESO!$M$26:$M$34</definedName>
    <definedName name="_MT2" localSheetId="2">BILAN!$E$38:$E$46,BILAN!$E$48:$E$53,BILAN!$E$56:$E$58,BILAN!$E$60:$E$64,BILAN!$E$66:$E$67,BILAN!$E$70:$E$82,BILAN!$E$84:$E$90,BILAN!$E$94:$E$97,BILAN!$E$100:$E$104</definedName>
    <definedName name="_MT2">TRESO!$E$37:$E$42,TRESO!$G$37:$G$42,TRESO!$I$37:$I$42,TRESO!$K$37:$K$42,TRESO!$M$37:$M$42,TRESO!$E$45:$E$49,TRESO!$G$45:$G$49,TRESO!$I$45:$I$49,TRESO!$K$45:$K$49,TRESO!$M$45:$M$49</definedName>
    <definedName name="_MT3">TRESO!$N$59,TRESO!$G$52:$G$59,TRESO!$I$52:$I$59,TRESO!$K$52:$K$59,TRESO!$M$52:$M$59</definedName>
    <definedName name="_MT4">TRESO!$R$4,TRESO!$R$6,TRESO!$R$8,TRESO!$R$10,TRESO!$R$12,TRESO!$R$14,TRESO!$R$18,TRESO!$R$20,TRESO!$R$22,TRESO!$R$24,TRESO!$R$26,TRESO!$R$28</definedName>
    <definedName name="_REF1">BILAN!$D$38</definedName>
    <definedName name="_REP1">TRESO!$N$35</definedName>
    <definedName name="_REP2">TRESO!$N$43</definedName>
    <definedName name="_REP3">TRESO!$N$50</definedName>
    <definedName name="_REP4">TRESO!$N$60</definedName>
    <definedName name="_REP5">TRESO!$R$15</definedName>
    <definedName name="_REP6">TRESO!$R$29</definedName>
    <definedName name="ACTIVITE">TRESO!$C$3</definedName>
    <definedName name="ACTUALISATION">BILAN!$AG$31</definedName>
    <definedName name="ACTUALISATION_HT">BILAN!$AL$29</definedName>
    <definedName name="AP">CALCU!$BM$128:$GC$128</definedName>
    <definedName name="AP_1erVERS" localSheetId="0">CALCU!$D$128</definedName>
    <definedName name="AP_1erVERS">TRESO!$D$20</definedName>
    <definedName name="AP_1erVERS_CONV">CALCU!$P$128</definedName>
    <definedName name="AP_MT" localSheetId="0">CALCU!$M$196</definedName>
    <definedName name="AP_MT">TRESO!$N$20</definedName>
    <definedName name="AP_RBT" localSheetId="0">CALCU!$D$129</definedName>
    <definedName name="AP_RBT">TRESO!$M$21</definedName>
    <definedName name="AP_RBT_CALC">CALCU!$BN$145:$GC$145</definedName>
    <definedName name="AP_RBT_CONS" localSheetId="0">CALCU!$P$196</definedName>
    <definedName name="AP_RBT_CONS">TRESO!$K$6</definedName>
    <definedName name="APP_PROM">CALCU!$A$127:$A$129</definedName>
    <definedName name="APPORT_COMPL">CALCU!$B$229</definedName>
    <definedName name="APPORT_PROMO">BILAN!$R$27</definedName>
    <definedName name="Apport_promoteur">CALCU!$A$127</definedName>
    <definedName name="BASE">BILAN!$AM$12:$AR$33</definedName>
    <definedName name="_xlnm.Database">BILAN!$AV$15:$AV$107</definedName>
    <definedName name="BOUTON">BILAN!$C$5</definedName>
    <definedName name="BUD_DEP">CALCU!$E$216</definedName>
    <definedName name="BUD_HT">TRESO!$R$4,TRESO!$R$6,TRESO!$R$8,TRESO!$R$10,TRESO!$R$12,TRESO!$R$14,TRESO!$R$18,TRESO!$R$20,TRESO!$R$22,TRESO!$R$24,TRESO!$R$26,TRESO!$R$28</definedName>
    <definedName name="BUD_REC">CALCU!$E$217</definedName>
    <definedName name="BUDGETS_TTC">CALCU!$BG$3</definedName>
    <definedName name="CAD_DAT_1" localSheetId="0">CALCU!$E$199</definedName>
    <definedName name="CAD_DAT_1">TRESO!$C$6</definedName>
    <definedName name="CAD_DAT_10" localSheetId="0">CALCU!$G$203</definedName>
    <definedName name="CAD_DAT_10">TRESO!$C$15</definedName>
    <definedName name="CAD_DAT_2" localSheetId="0">CALCU!$E$200</definedName>
    <definedName name="CAD_DAT_2">TRESO!$C$7</definedName>
    <definedName name="CAD_DAT_3" localSheetId="0">CALCU!$E$201</definedName>
    <definedName name="CAD_DAT_3">TRESO!$C$8</definedName>
    <definedName name="CAD_DAT_4" localSheetId="0">CALCU!$E$202</definedName>
    <definedName name="CAD_DAT_4">TRESO!$C$9</definedName>
    <definedName name="CAD_DAT_5" localSheetId="0">CALCU!$E$203</definedName>
    <definedName name="CAD_DAT_5">TRESO!$C$10</definedName>
    <definedName name="CAD_DAT_6" localSheetId="0">CALCU!$G$199</definedName>
    <definedName name="CAD_DAT_6">TRESO!$C$11</definedName>
    <definedName name="CAD_DAT_7" localSheetId="0">CALCU!$G$200</definedName>
    <definedName name="CAD_DAT_7">TRESO!$C$12</definedName>
    <definedName name="CAD_DAT_8" localSheetId="0">CALCU!$G$201</definedName>
    <definedName name="CAD_DAT_8">TRESO!$C$13</definedName>
    <definedName name="CAD_DAT_9" localSheetId="0">CALCU!$G$202</definedName>
    <definedName name="CAD_DAT_9">TRESO!$C$14</definedName>
    <definedName name="CAD_DAT_CONV_1">CALCU!$Q$2</definedName>
    <definedName name="CAD_DAT_CONV_10">CALCU!$Z$2</definedName>
    <definedName name="CAD_DAT_CONV_2">CALCU!$R$2</definedName>
    <definedName name="CAD_DAT_CONV_3">CALCU!$S$2</definedName>
    <definedName name="CAD_DAT_CONV_4">CALCU!$T$2</definedName>
    <definedName name="CAD_DAT_CONV_5">CALCU!$U$2</definedName>
    <definedName name="CAD_DAT_CONV_6">CALCU!$V$2</definedName>
    <definedName name="CAD_DAT_CONV_7">CALCU!$W$2</definedName>
    <definedName name="CAD_DAT_CONV_8">CALCU!$X$2</definedName>
    <definedName name="CAD_DAT_CONV_9">CALCU!$Y$2</definedName>
    <definedName name="CAD_EDIT">CALCU!$D$190</definedName>
    <definedName name="CAD_NB_1" localSheetId="0">CALCU!$F$199</definedName>
    <definedName name="CAD_NB_1">TRESO!$D$6</definedName>
    <definedName name="CAD_NB_10" localSheetId="0">CALCU!$H$203</definedName>
    <definedName name="CAD_NB_10">TRESO!$D$15</definedName>
    <definedName name="CAD_NB_2" localSheetId="0">CALCU!$F$200</definedName>
    <definedName name="CAD_NB_2">TRESO!$D$7</definedName>
    <definedName name="CAD_NB_3" localSheetId="0">CALCU!$F$201</definedName>
    <definedName name="CAD_NB_3">TRESO!$D$8</definedName>
    <definedName name="CAD_NB_4" localSheetId="0">CALCU!$F$202</definedName>
    <definedName name="CAD_NB_4">TRESO!$D$9</definedName>
    <definedName name="CAD_NB_5" localSheetId="0">CALCU!$F$203</definedName>
    <definedName name="CAD_NB_5">TRESO!$D$10</definedName>
    <definedName name="CAD_NB_6" localSheetId="0">CALCU!$H$199</definedName>
    <definedName name="CAD_NB_6">TRESO!$D$11</definedName>
    <definedName name="CAD_NB_7" localSheetId="0">CALCU!$H$200</definedName>
    <definedName name="CAD_NB_7">TRESO!$D$12</definedName>
    <definedName name="CAD_NB_8" localSheetId="0">CALCU!$H$201</definedName>
    <definedName name="CAD_NB_8">TRESO!$D$13</definedName>
    <definedName name="CAD_NB_9" localSheetId="0">CALCU!$H$202</definedName>
    <definedName name="CAD_NB_9">TRESO!$D$14</definedName>
    <definedName name="CAF">CALCU!$C$67</definedName>
    <definedName name="CHARG_FONC" localSheetId="0">CALCU!$A$5</definedName>
    <definedName name="CHARG_FONC">TRESO!$A$26:$M$34</definedName>
    <definedName name="CHIF_AFF" localSheetId="0">CALCU!$X$197</definedName>
    <definedName name="CHIF_AFF">TRESO!$N$9</definedName>
    <definedName name="CODE_PARAM">TRESO!$AF$4</definedName>
    <definedName name="COEF_SHON_AUT">BILAN!$AJ$17</definedName>
    <definedName name="COEF_SHON_LGT">BILAN!$AI$17</definedName>
    <definedName name="COMM">BILAN!$J$38:$J$104</definedName>
    <definedName name="COMMERC">CALCU!$A$96</definedName>
    <definedName name="CONDHT">BILAN!$S$62</definedName>
    <definedName name="CONGHT">BILAN!$S$61</definedName>
    <definedName name="CONLHT">BILAN!$S$60</definedName>
    <definedName name="CONSHT">BILAN!$S$65</definedName>
    <definedName name="CONSTRUCTION">CALCU!$A$31</definedName>
    <definedName name="CONTR_DATE_DEB">CALCU!$BM$142</definedName>
    <definedName name="CONTR_DEP">CALCU!$GC$113</definedName>
    <definedName name="CONTR_REC">CALCU!$GC$130</definedName>
    <definedName name="_xlnm.Criteria">BILAN!$AV$13:$AV$14</definedName>
    <definedName name="critl13">BILAN!$AU$13:$AU$14</definedName>
    <definedName name="critl15">BILAN!$AV$13:$AV$14</definedName>
    <definedName name="DATE_CREA" localSheetId="0">CALCU!$X$194</definedName>
    <definedName name="DATE_CREA">TRESO!$M$1</definedName>
    <definedName name="DATE_DEB_EDIT">CALCU!$D$192</definedName>
    <definedName name="DATE_DEBUT" localSheetId="0">CALCU!$F$197</definedName>
    <definedName name="DATE_DEBUT">TRESO!$C$4</definedName>
    <definedName name="Date_Dernier_Encai">CALCU!$BL$130</definedName>
    <definedName name="DATES">CALCU!$BM$2:$GC$2</definedName>
    <definedName name="DATES_1er">CALCU!$BN$2</definedName>
    <definedName name="datmaint">BILAN!$AX$5</definedName>
    <definedName name="DEB_PLAN_DATE">CALCU!$BM$3</definedName>
    <definedName name="DEB_PLAN_VTE">CALCU!$BM$150</definedName>
    <definedName name="DEBCEL">BILAN!$E$38:$E$104</definedName>
    <definedName name="DEC_APF">CALCU!$K$109</definedName>
    <definedName name="DEC_DATE">CALCU!$I$192</definedName>
    <definedName name="DEC_FF">CALCU!$K$113</definedName>
    <definedName name="DEC_FRN">CALCU!$K$107</definedName>
    <definedName name="DEC_HIN">CALCU!$K$110</definedName>
    <definedName name="DEC_SIG">CALCU!$K$108</definedName>
    <definedName name="DEC_TVA">CALCU!$K$111</definedName>
    <definedName name="DECALAGES">TRESO!$AI$7:$AI$13</definedName>
    <definedName name="DECOUV_MAX" localSheetId="0">CALCU!$S$200</definedName>
    <definedName name="DECOUV_MAX">TRESO!$H$12</definedName>
    <definedName name="DEMOHT">BILAN!$S$43</definedName>
    <definedName name="DEP">CALCU!$BM$113:$GC$113</definedName>
    <definedName name="DEP_HT">CALCU!$BF$98</definedName>
    <definedName name="DEP_TVA">CALCU!$BH$98</definedName>
    <definedName name="DIV_DR_COM">CALCU!$GC$111</definedName>
    <definedName name="DIVIDENDES">CALCU!$A$107</definedName>
    <definedName name="ENCAISSEMENTS">CALCU!$A$115</definedName>
    <definedName name="endimp">BILAN!$AX$11</definedName>
    <definedName name="FF_BUD" localSheetId="0">CALCU!$S$194</definedName>
    <definedName name="FF_BUD">TRESO!$N$3</definedName>
    <definedName name="FF_CAL" localSheetId="0">CALCU!$S$195</definedName>
    <definedName name="FF_CAL">TRESO!$N$4</definedName>
    <definedName name="FF_CAL_TAB">CALCU!$GC$138</definedName>
    <definedName name="FF_HT">CALCU!$BF$138</definedName>
    <definedName name="FF_INI_BUD" localSheetId="0">CALCU!$S$197</definedName>
    <definedName name="FF_INI_BUD">TRESO!$N$6</definedName>
    <definedName name="FF_INI_HT">CALCU!$BF$134</definedName>
    <definedName name="FF_INI_TVA">CALCU!$BH$134</definedName>
    <definedName name="FF_TVA">CALCU!$BH$138</definedName>
    <definedName name="FNOTHT">BILAN!$S$39</definedName>
    <definedName name="FR_FIN">CALCU!$A$134</definedName>
    <definedName name="G.F.A" localSheetId="0">CALCU!$D$136</definedName>
    <definedName name="G.F.A">TRESO!$H$3</definedName>
    <definedName name="G.F.A_HT">CALCU!$BF$136</definedName>
    <definedName name="G.F.A_TVA">CALCU!$BH$136</definedName>
    <definedName name="GRAPH_COPIE">CALCU!$BL$175:$GC$186</definedName>
    <definedName name="HON_EXT_AUT" localSheetId="0">CALCU!$A$78</definedName>
    <definedName name="HON_EXT_AUT">TRESO!$A$61:$L$68</definedName>
    <definedName name="HON_EXT_MAN" localSheetId="0">CALCU!$A$69</definedName>
    <definedName name="HON_EXT_MAN">TRESO!$A$52:$M$59</definedName>
    <definedName name="HON_INT" localSheetId="0">CALCU!$A$87</definedName>
    <definedName name="HON_INT">TRESO!$A$70:$L$77</definedName>
    <definedName name="I2P_1">BILAN!$O$14:$S$16</definedName>
    <definedName name="I2P_1B">BILAN!$AC$14:$AG$16</definedName>
    <definedName name="I2P_2">BILAN!$O$35:$AG$107</definedName>
    <definedName name="I2P_3">BILAN!$O$11:$AG$31</definedName>
    <definedName name="I2P_4">BILAN!$O$109:$AG$127</definedName>
    <definedName name="imp1p">BILAN!$O$14:$AG$114</definedName>
    <definedName name="IMP4P">BILAN!$K$130:$Q$136</definedName>
    <definedName name="IMPHT">BILAN!$S$66</definedName>
    <definedName name="_xlnm.Print_Titles" localSheetId="0">CALCU!$193:$203</definedName>
    <definedName name="INDIHT">BILAN!$S$40</definedName>
    <definedName name="LcritBASe">BILAN!$AR$34:$AT$35</definedName>
    <definedName name="LIB_BLANC">BILAN!$AN$34</definedName>
    <definedName name="MARGE" localSheetId="0">CALCU!$N$104</definedName>
    <definedName name="MARGE">TRESO!$N$11</definedName>
    <definedName name="MARGTOT_HT">BILAN!$U$113</definedName>
    <definedName name="MOIS_DIV">CALCU!$K$112</definedName>
    <definedName name="Monnaie" localSheetId="2">BILAN!$AI$11</definedName>
    <definedName name="Monnaie_indice" localSheetId="2">BILAN!$BC$11</definedName>
    <definedName name="NB_LOGT">BILAN!$V$27</definedName>
    <definedName name="NB_LOGT_CALCUL">BILAN!$V$28</definedName>
    <definedName name="NB_LOTS" localSheetId="0">CALCU!$E$67</definedName>
    <definedName name="NB_LOTS">TRESO!$H$14</definedName>
    <definedName name="NBR_GARA">BILAN!$AE$21</definedName>
    <definedName name="OBSERVATIONS" localSheetId="0">CALCU!$C$231</definedName>
    <definedName name="OBSERVATIONS">TRESO!$A$85:$A$92</definedName>
    <definedName name="P441HT">BILAN!$S$85</definedName>
    <definedName name="PARAM_1" localSheetId="1">STAND!$G$5:$L$22</definedName>
    <definedName name="PARAM_1">TRESO!$G$60:$L$77</definedName>
    <definedName name="PARAM_2" localSheetId="1">STAND!$N$5:$V$23</definedName>
    <definedName name="PARAM_2">TRESO!$AC$7:$AK$25</definedName>
    <definedName name="PARAM_EDIT">CALCU!$D$191</definedName>
    <definedName name="PERSHT">BILAN!$S$63</definedName>
    <definedName name="PHASE">CALCU!$F$195</definedName>
    <definedName name="PL1_1HT">BILAN!#REF!</definedName>
    <definedName name="PL1_2HT">BILAN!$S$46</definedName>
    <definedName name="PL2_1HT">BILAN!#REF!</definedName>
    <definedName name="PL2_2HT">BILAN!$S$53</definedName>
    <definedName name="PL3_1HT">BILAN!$S$58</definedName>
    <definedName name="PL3_2HT">BILAN!$S$64</definedName>
    <definedName name="PL4_1HT">BILAN!$S$67</definedName>
    <definedName name="PLAN_DATE">CALCU!$BM$3</definedName>
    <definedName name="POURC_ACTUAL">BILAN!$AE$31</definedName>
    <definedName name="POURC_APF" localSheetId="0">CALCU!$G$27</definedName>
    <definedName name="POURC_APF">TRESO!$AE$23:$AK$23</definedName>
    <definedName name="POURC_FPF" localSheetId="0">CALCU!$D$138</definedName>
    <definedName name="POURC_FPF">TRESO!$AE$16:$AK$19</definedName>
    <definedName name="POURC_MARGE" localSheetId="0">CALCU!$X$201</definedName>
    <definedName name="POURC_MARGE">TRESO!$N$13</definedName>
    <definedName name="POURC_TRV">CALCU!$G$28</definedName>
    <definedName name="POURC_TRV_L">TRESO!$AE$24:$AK$24</definedName>
    <definedName name="POURC_TRV_P">TRESO!$AE$25:$AK$25</definedName>
    <definedName name="POURMARG_HT">BILAN!$T$113</definedName>
    <definedName name="PR_FIN">CALCU!$A$140</definedName>
    <definedName name="PR_HT_HORS_GFA">BILAN!$AJ$110</definedName>
    <definedName name="PR_REV.TOT_HT">BILAN!$S$107</definedName>
    <definedName name="PR_REV.TOT_TTC">BILAN!$U$107</definedName>
    <definedName name="PR_TTC_HORS_GFA">BILAN!$AJ$109</definedName>
    <definedName name="PRIX_REVIENT">CALCU!$O$104</definedName>
    <definedName name="PROG_IMMOB" localSheetId="0">CALCU!$F$194</definedName>
    <definedName name="PROG_IMMOB">TRESO!$C$1</definedName>
    <definedName name="PV_ANN_HT">BILAN!$AL$27</definedName>
    <definedName name="PV_AUTR">BILAN!$AG$30</definedName>
    <definedName name="PV_AUTR_HT">BILAN!$AL$28</definedName>
    <definedName name="PV_AUTR_NONSOUMIS">BILAN!$AJ$30</definedName>
    <definedName name="PV_GARAGE_HT">BILAN!$AL$31</definedName>
    <definedName name="PV_LOGT">BILAN!$Z$27</definedName>
    <definedName name="PV_LOGT_HT">BILAN!$AK$27</definedName>
    <definedName name="PV_PARK">BILAN!$AG$21</definedName>
    <definedName name="PV_TOT_HT">BILAN!$AL$30</definedName>
    <definedName name="PV_TTC2">BILAN!$AO$32</definedName>
    <definedName name="PVTOT_TTC">BILAN!$Z$29</definedName>
    <definedName name="PVTOT_TTC_HC">BILAN!$Z$31</definedName>
    <definedName name="REATHT">BILAN!$S$50</definedName>
    <definedName name="REC">CALCU!$BM$130:$GC$130</definedName>
    <definedName name="REDEVANCES" localSheetId="0">CALCU!$A$15</definedName>
    <definedName name="REDEVANCES">TRESO!$A$37:$M$42</definedName>
    <definedName name="REF">BILAN!$AR$36:$AT$106</definedName>
    <definedName name="RELTHT">BILAN!$S$44</definedName>
    <definedName name="RENTAB" localSheetId="0">CALCU!$M$200</definedName>
    <definedName name="RENTAB">TRESO!$H$10</definedName>
    <definedName name="RENTAB2">CALCU!$M$201</definedName>
    <definedName name="RENTAB2_S">TRESO!$H$11</definedName>
    <definedName name="RENTAB3">CALCU!$M$202</definedName>
    <definedName name="RENTAB3_S">TRESO!$J$11</definedName>
    <definedName name="RENTABILITE">CALCU!$BN$147:$GC$147</definedName>
    <definedName name="RENTABILITE2">CALCU!$BN$148:$GC$148</definedName>
    <definedName name="REP">TRESO!$R$30</definedName>
    <definedName name="RESERVATIONS">CALCU!$BM$150:$GC$150,CALCU!$BM$154:$GC$154,CALCU!$BM$158:$GC$158,CALCU!$BM$162:$GC$162,CALCU!$BM$166,CALCU!$BN$166:$GC$166,CALCU!$BM$170:$GC$170</definedName>
    <definedName name="RESTHT">BILAN!$S$51</definedName>
    <definedName name="REVHT">BILAN!#REF!</definedName>
    <definedName name="RYTHME_VENTE">BILAN!$R$29</definedName>
    <definedName name="S_APPORT_COMPL">TRESO!$C$23</definedName>
    <definedName name="SHON_GLOB">BILAN!$C$8</definedName>
    <definedName name="SHON_LOGT">BILAN!$E$8</definedName>
    <definedName name="Sigle_Monnaie">BILAN!$AJ$11</definedName>
    <definedName name="SONDHT">BILAN!$S$42</definedName>
    <definedName name="SUPL">BILAN!$AU$15:$AU$107</definedName>
    <definedName name="SUPL13">BILAN!$AU$15:$AU$107</definedName>
    <definedName name="SUPL15">BILAN!$AV$15:$AV$107</definedName>
    <definedName name="SURF_HABIT">BILAN!$W$27</definedName>
    <definedName name="SURF_TERR">BILAN!$C$9</definedName>
    <definedName name="SURF_UTIL">BILAN!$AE$30</definedName>
    <definedName name="T_HONEXT_HT">BILAN!$S$83</definedName>
    <definedName name="T_HONINT_HT">BILAN!$S$91</definedName>
    <definedName name="T1_1erSIGN">CALCU!$Z$117</definedName>
    <definedName name="T1_AO">CALCU!$R$32</definedName>
    <definedName name="T1_CA">TRESO!$R$18</definedName>
    <definedName name="T1_CAF">CALCU!$C$34</definedName>
    <definedName name="T1_CAF_LOTS">CALCU!$X$117</definedName>
    <definedName name="T1_CAF_POURC">CALCU!$Y$117</definedName>
    <definedName name="T1_CAF_TX_TVA">CALCU!$B$34</definedName>
    <definedName name="T1_CODE_ENC" localSheetId="0">CALCU!$D$116</definedName>
    <definedName name="T1_CODE_ENC">TRESO!$Q$36</definedName>
    <definedName name="T1_CONST_TABLE">CALCU!$Q$32:$AA$35</definedName>
    <definedName name="T1_CONST_TTC">CALCU!$BG$31</definedName>
    <definedName name="T1_DATES">TRESO!$Q$18:$Z$18</definedName>
    <definedName name="T1_DEB_PLAN">CALCU!$I$34</definedName>
    <definedName name="T1_DEB_PLAN_CONV">CALCU!$AA$117</definedName>
    <definedName name="T1_DT">CALCU!$S$32</definedName>
    <definedName name="T1_DUR">CALCU!$AE$31</definedName>
    <definedName name="T1_ENC_MANUEL" localSheetId="0">CALCU!$E$115:$N$116</definedName>
    <definedName name="T1_ENC_MANUEL">TRESO!$R$35:$AA$36</definedName>
    <definedName name="T1_FO">CALCU!$T$32</definedName>
    <definedName name="T1_HC_LOTS">CALCU!$P$96</definedName>
    <definedName name="T1_HC_TAUX">CALCU!$K$34</definedName>
    <definedName name="T1_LI">CALCU!$Z$32</definedName>
    <definedName name="T1_MARGE_LOTS">CALCU!$R$104</definedName>
    <definedName name="T1_NBLOTS">CALCU!$E$34</definedName>
    <definedName name="T1_NOTIF">CALCU!$G$34</definedName>
    <definedName name="T1_PLAN_CONS" localSheetId="0">CALCU!$C$31</definedName>
    <definedName name="T1_PLAN_CONS">TRESO!$Q$4:$AA$4</definedName>
    <definedName name="T1_RESERVATIONS">CALCU!$BM$151:$GC$151</definedName>
    <definedName name="T1_SIGNATURES">CALCU!$BM$152:$GC$152</definedName>
    <definedName name="T1_TAUX_APF">CALCU!$T$30:$AA$30</definedName>
    <definedName name="T1_TVACOL_LOTS">CALCU!$P$101</definedName>
    <definedName name="T1_TVADED_LOTS">CALCU!$Q$101</definedName>
    <definedName name="T2_1erSIGN">CALCU!$AD$117</definedName>
    <definedName name="T2_AO">CALCU!$R$38</definedName>
    <definedName name="T2_CA">TRESO!$R$20</definedName>
    <definedName name="T2_CAF">CALCU!$C$40</definedName>
    <definedName name="T2_CAF_LOTS">CALCU!$AB$117</definedName>
    <definedName name="T2_CAF_POURC">CALCU!$AC$117</definedName>
    <definedName name="T2_CAF_TX_TVA">CALCU!$B$40</definedName>
    <definedName name="T2_CODE_ENC" localSheetId="0">CALCU!$D$118</definedName>
    <definedName name="T2_CODE_ENC">TRESO!$Q$38</definedName>
    <definedName name="T2_CONST_TABLE">CALCU!$Q$38:$AA$41</definedName>
    <definedName name="T2_CONST_TTC">CALCU!$BG$37</definedName>
    <definedName name="T2_DATES">TRESO!$Q$20:$Z$20</definedName>
    <definedName name="T2_DEB_PLAN">CALCU!$I$40</definedName>
    <definedName name="T2_DEB_PLAN_CONV">CALCU!$AE$117</definedName>
    <definedName name="T2_DT">CALCU!$S$38</definedName>
    <definedName name="T2_DUR">CALCU!$AE$37</definedName>
    <definedName name="T2_ENC_MANUEL" localSheetId="0">CALCU!$E$117:$N$118</definedName>
    <definedName name="T2_ENC_MANUEL">TRESO!$R$37:$AA$38</definedName>
    <definedName name="T2_FO">CALCU!$T$38</definedName>
    <definedName name="T2_HC_LOTS">CALCU!$Q$96</definedName>
    <definedName name="T2_HC_TAUX">CALCU!$K$40</definedName>
    <definedName name="T2_LI">CALCU!$Z$38</definedName>
    <definedName name="T2_MARGE_LOTS">CALCU!$U$104</definedName>
    <definedName name="T2_NBLOTS">CALCU!$E$40</definedName>
    <definedName name="T2_NOTIF">CALCU!$G$40</definedName>
    <definedName name="T2_PLAN_CONS" localSheetId="0">CALCU!$C$37</definedName>
    <definedName name="T2_PLAN_CONS">TRESO!$Q$6:$AA$6</definedName>
    <definedName name="T2_RESERVATIONS">CALCU!$BM$155:$GC$155</definedName>
    <definedName name="T2_SIGNATURES">CALCU!$BM$156:$GC$156</definedName>
    <definedName name="T2_TAUX_APF">CALCU!$T$36:$AA$36</definedName>
    <definedName name="T2_TVACOL_LOTS">CALCU!$S$101</definedName>
    <definedName name="T2_TVADED_LOTS">CALCU!$T$101</definedName>
    <definedName name="T3_1erSIGN">CALCU!$AH$117</definedName>
    <definedName name="T3_AO">CALCU!$R$44</definedName>
    <definedName name="T3_CA">TRESO!$R$22</definedName>
    <definedName name="T3_CAF">CALCU!$C$46</definedName>
    <definedName name="T3_CAF_LOTS">CALCU!$AF$117</definedName>
    <definedName name="T3_CAF_POURC">CALCU!$AG$117</definedName>
    <definedName name="T3_CAF_TX_TVA">CALCU!$B$46</definedName>
    <definedName name="T3_CODE_ENC" localSheetId="0">CALCU!$D$120</definedName>
    <definedName name="T3_CODE_ENC">TRESO!$Q$40</definedName>
    <definedName name="T3_CONST_TABLE">CALCU!$Q$44:$AA$47</definedName>
    <definedName name="T3_CONST_TTC">CALCU!$BG$43</definedName>
    <definedName name="T3_DATES">TRESO!$Q$22:$Z$22</definedName>
    <definedName name="T3_DEB_PLAN">CALCU!$I$46</definedName>
    <definedName name="T3_DEB_PLAN_CONV">CALCU!$AI$117</definedName>
    <definedName name="T3_DT">CALCU!$S$44</definedName>
    <definedName name="T3_DUR">CALCU!$AE$43</definedName>
    <definedName name="T3_ENC_MANUEL" localSheetId="0">CALCU!$E$119:$N$120</definedName>
    <definedName name="T3_ENC_MANUEL">TRESO!$R$39:$AA$40</definedName>
    <definedName name="T3_FO">CALCU!$T$44</definedName>
    <definedName name="T3_HC_LOTS">CALCU!$R$96</definedName>
    <definedName name="T3_HC_TAUX">CALCU!$K$46</definedName>
    <definedName name="T3_LI">CALCU!$Z$44</definedName>
    <definedName name="T3_MARGE_LOTS">CALCU!$X$104</definedName>
    <definedName name="T3_NBLOTS">CALCU!$E$46</definedName>
    <definedName name="T3_NOTIF">CALCU!$G$46</definedName>
    <definedName name="T3_PLAN_CONS" localSheetId="0">CALCU!$C$43</definedName>
    <definedName name="T3_PLAN_CONS">TRESO!$Q$8:$AA$8</definedName>
    <definedName name="T3_RESERVATIONS">CALCU!$BM$159:$GC$159</definedName>
    <definedName name="T3_SIGNATURES">CALCU!$BM$160:$GC$160</definedName>
    <definedName name="T3_TAUX_APF">CALCU!$T$42:$AA$42</definedName>
    <definedName name="T3_TVACOL_LOTS">CALCU!$V$101</definedName>
    <definedName name="T3_TVADED_LOTS">CALCU!$W$101</definedName>
    <definedName name="T4_1erSIGN">CALCU!$AL$117</definedName>
    <definedName name="T4_AO">CALCU!$R$50</definedName>
    <definedName name="T4_CA">TRESO!$R$24</definedName>
    <definedName name="T4_CAF">CALCU!$C$52</definedName>
    <definedName name="T4_CAF_LOTS">CALCU!$AJ$117</definedName>
    <definedName name="T4_CAF_POURC">CALCU!$AK$117</definedName>
    <definedName name="T4_CAF_TX_TVA">CALCU!$B$52</definedName>
    <definedName name="T4_CODE_ENC" localSheetId="0">CALCU!$D$122</definedName>
    <definedName name="T4_CODE_ENC">TRESO!$Q$42</definedName>
    <definedName name="T4_CONST_TABLE">CALCU!$Q$50:$AA$53</definedName>
    <definedName name="T4_CONST_TTC">CALCU!$BG$49</definedName>
    <definedName name="T4_DATES">TRESO!$Q$24:$Z$24</definedName>
    <definedName name="T4_DEB_PLAN">CALCU!$I$52</definedName>
    <definedName name="T4_DEB_PLAN_CONV">CALCU!$AM$117</definedName>
    <definedName name="T4_DT">CALCU!$S$50</definedName>
    <definedName name="T4_DUR">CALCU!$AE$49</definedName>
    <definedName name="T4_ENC_MANUEL" localSheetId="0">CALCU!$E$121:$N$122</definedName>
    <definedName name="T4_ENC_MANUEL">TRESO!$R$41:$AA$42</definedName>
    <definedName name="T4_FO">CALCU!$T$50</definedName>
    <definedName name="T4_HC_LOTS">CALCU!$S$96</definedName>
    <definedName name="T4_HC_TAUX">CALCU!$K$52</definedName>
    <definedName name="T4_LI">CALCU!$Z$50</definedName>
    <definedName name="T4_MARGE_LOTS">CALCU!$AA$104</definedName>
    <definedName name="T4_NBLOTS">CALCU!$E$52</definedName>
    <definedName name="T4_NOTIF">CALCU!$G$52</definedName>
    <definedName name="T4_PLAN_CONS" localSheetId="0">CALCU!$C$49</definedName>
    <definedName name="T4_PLAN_CONS">TRESO!$Q$10:$AA$10</definedName>
    <definedName name="T4_RESERVATIONS">CALCU!$BM$163:$GC$163</definedName>
    <definedName name="T4_SIGNATURES">CALCU!$BM$164:$GC$164</definedName>
    <definedName name="T4_TAUX_APF">CALCU!$T$48:$AA$48</definedName>
    <definedName name="T4_TVACOL_LOTS">CALCU!$Y$101</definedName>
    <definedName name="T4_TVADED_LOTS">CALCU!$Z$101</definedName>
    <definedName name="T5_1erSIGN">CALCU!$AP$117</definedName>
    <definedName name="T5_AO">CALCU!$R$56</definedName>
    <definedName name="T5_CA">TRESO!$R$26</definedName>
    <definedName name="T5_CAF">CALCU!$C$58</definedName>
    <definedName name="T5_CAF_LOTS">CALCU!$AN$117</definedName>
    <definedName name="T5_CAF_POURC">CALCU!$AO$117</definedName>
    <definedName name="T5_CAF_TX_TVA">CALCU!$B$58</definedName>
    <definedName name="T5_CODE_ENC" localSheetId="0">CALCU!$D$124</definedName>
    <definedName name="T5_CODE_ENC">TRESO!$Q$44</definedName>
    <definedName name="T5_CONST_TABLE">CALCU!$Q$56:$AA$59</definedName>
    <definedName name="T5_CONST_TTC">CALCU!$BG$55</definedName>
    <definedName name="T5_DATES">TRESO!$Q$26:$Z$26</definedName>
    <definedName name="T5_DEB_PLAN">CALCU!$I$58</definedName>
    <definedName name="T5_DEB_PLAN_CONV">CALCU!$AQ$117</definedName>
    <definedName name="T5_DT">CALCU!$S$56</definedName>
    <definedName name="T5_DUR">CALCU!$AE$55</definedName>
    <definedName name="T5_ENC_MANUEL" localSheetId="0">CALCU!$E$123:$N$124</definedName>
    <definedName name="T5_ENC_MANUEL">TRESO!$R$43:$AA$44</definedName>
    <definedName name="T5_FO">CALCU!$T$56</definedName>
    <definedName name="T5_HC_LOTS">CALCU!$T$96</definedName>
    <definedName name="T5_HC_TAUX">CALCU!$K$58</definedName>
    <definedName name="T5_LI">CALCU!$Z$56</definedName>
    <definedName name="T5_MARGE_LOTS">CALCU!$AD$104</definedName>
    <definedName name="T5_NBLOTS">CALCU!$E$58</definedName>
    <definedName name="T5_NOTIF">CALCU!$G$58</definedName>
    <definedName name="T5_PLAN_CONS" localSheetId="0">CALCU!$C$55</definedName>
    <definedName name="T5_PLAN_CONS">TRESO!$Q$12:$AA$12</definedName>
    <definedName name="T5_RESERVATIONS">CALCU!$BM$167:$GC$167</definedName>
    <definedName name="T5_SIGNATURES">CALCU!$BM$168:$GC$168</definedName>
    <definedName name="T5_TAUX_APF">CALCU!$T$54:$AA$54</definedName>
    <definedName name="T5_TVACOL_LOTS">CALCU!$AB$101</definedName>
    <definedName name="T5_TVADED_LOTS">CALCU!$AC$101</definedName>
    <definedName name="T6_1erSIGN">CALCU!$AT$117</definedName>
    <definedName name="T6_AO">CALCU!$R$62</definedName>
    <definedName name="T6_CA">TRESO!$R$28</definedName>
    <definedName name="T6_CAF">CALCU!$C$64</definedName>
    <definedName name="T6_CAF_LOTS">CALCU!$AR$117</definedName>
    <definedName name="T6_CAF_POURC">CALCU!$AS$117</definedName>
    <definedName name="T6_CAF_TX_TVA">CALCU!$B$64</definedName>
    <definedName name="T6_CODE_ENC" localSheetId="0">CALCU!$D$126</definedName>
    <definedName name="T6_CODE_ENC">TRESO!$Q$46</definedName>
    <definedName name="T6_CONST_TABLE">CALCU!$Q$62:$AA$65</definedName>
    <definedName name="T6_CONST_TTC">CALCU!$BG$61</definedName>
    <definedName name="T6_DATES">TRESO!$Q$28:$Z$28</definedName>
    <definedName name="T6_DEB_PLAN">CALCU!$I$64</definedName>
    <definedName name="T6_DEB_PLAN_CONV">CALCU!$AU$117</definedName>
    <definedName name="T6_DT">CALCU!$S$62</definedName>
    <definedName name="T6_DUR">CALCU!$AE$61</definedName>
    <definedName name="T6_ENC_MANUEL" localSheetId="0">CALCU!$E$125:$N$126</definedName>
    <definedName name="T6_ENC_MANUEL">TRESO!$R$45:$AA$46</definedName>
    <definedName name="T6_FO">CALCU!$T$62</definedName>
    <definedName name="T6_HC_LOTS">CALCU!$U$96</definedName>
    <definedName name="T6_HC_TAUX">CALCU!$K$64</definedName>
    <definedName name="T6_LI">CALCU!$Z$62</definedName>
    <definedName name="T6_MARGE_LOTS">CALCU!$AG$104</definedName>
    <definedName name="T6_NBLOTS">CALCU!$E$64</definedName>
    <definedName name="T6_NOTIF">CALCU!$G$64</definedName>
    <definedName name="T6_PLAN_CONS" localSheetId="0">CALCU!$C$61</definedName>
    <definedName name="T6_PLAN_CONS">TRESO!$Q$14:$AA$14</definedName>
    <definedName name="T6_RESERVATIONS">CALCU!$BM$171:$GC$171</definedName>
    <definedName name="T6_SIGNATURES">CALCU!$BM$172:$GC$172</definedName>
    <definedName name="T6_TAUX_APF">CALCU!$T$60:$AA$60</definedName>
    <definedName name="T6_TVACOL_LOTS">CALCU!$AE$101</definedName>
    <definedName name="T6_TVADED_LOTS">CALCU!$AF$101</definedName>
    <definedName name="TABLEAU_RECAP">CALCU!$C$205:$P$220</definedName>
    <definedName name="TADIHT">BILAN!$S$52</definedName>
    <definedName name="TAUX_AP" localSheetId="0">CALCU!$M$198</definedName>
    <definedName name="TAUX_AP">TRESO!$H$8</definedName>
    <definedName name="TAUX_APF">CALCU!$T$27:$AA$27</definedName>
    <definedName name="TAUX_FF_PF_TABLE">CALCU!$P$138:$V$141</definedName>
    <definedName name="TAUX_TRVX">CALCU!$T$28:$AA$28</definedName>
    <definedName name="TAUXTVA">BILAN!$AK$12</definedName>
    <definedName name="TERRHT">BILAN!$S$38</definedName>
    <definedName name="TLEHT">BILAN!$S$48</definedName>
    <definedName name="TOT_DEP">CALCU!$A$113</definedName>
    <definedName name="TOT_REC">CALCU!$A$130</definedName>
    <definedName name="TOT1_2HT">BILAN!$S$55</definedName>
    <definedName name="TOT1À4HT">BILAN!$S$69</definedName>
    <definedName name="TOT1À5HT">BILAN!$S$93</definedName>
    <definedName name="TOT1À5TTC">BILAN!$U$93</definedName>
    <definedName name="TOT1À6HT">BILAN!$S$99</definedName>
    <definedName name="TOT1HT">BILAN!$S$47</definedName>
    <definedName name="TOT2HT">BILAN!$S$54</definedName>
    <definedName name="TOT3_4HT">BILAN!$S$68</definedName>
    <definedName name="TOT5HT">BILAN!$S$92</definedName>
    <definedName name="TOT6HT">BILAN!$S$98</definedName>
    <definedName name="TOT7HT">BILAN!$S$106</definedName>
    <definedName name="TRDHT">BILAN!$S$49</definedName>
    <definedName name="TRESO_APRES">CALCU!$BM$142:$GC$142</definedName>
    <definedName name="TRESORERIE">CALCU!$A$142</definedName>
    <definedName name="TVA_COL">CALCU!$N$101</definedName>
    <definedName name="TVA_DED">CALCU!$O$101</definedName>
    <definedName name="TVA_RESID" localSheetId="2">BILAN!$V$113</definedName>
    <definedName name="TVA_RESID">CALCU!$A$99</definedName>
    <definedName name="TX_TVA_COM" localSheetId="0">CALCU!$C$96</definedName>
    <definedName name="TX_TVA_COM">TRESO!$C$79</definedName>
    <definedName name="VER">BILAN!$AN$10</definedName>
    <definedName name="VERS_SAISIE">TRESO!$G$1</definedName>
    <definedName name="VERS_STANDART">STAND!$A$3</definedName>
    <definedName name="VRD" localSheetId="0">CALCU!$A$22</definedName>
    <definedName name="VRD">TRESO!$A$45:$M$49</definedName>
    <definedName name="VRDEHT">BILAN!$S$57</definedName>
    <definedName name="VRDHT">BILAN!$S$59</definedName>
    <definedName name="VRDIHT">BILAN!$S$56</definedName>
    <definedName name="Z_185B1D6B_988C_4819_B119_9DBF81846F69_.wvu.Cols" localSheetId="2" hidden="1">BILAN!$BC:$BC</definedName>
    <definedName name="Z_185B1D6B_988C_4819_B119_9DBF81846F69_.wvu.Cols" localSheetId="3" hidden="1">TRESO!$AO:$AP</definedName>
    <definedName name="Z_185B1D6B_988C_4819_B119_9DBF81846F69_.wvu.PrintArea" localSheetId="2" hidden="1">BILAN!$O$14:$AG$114</definedName>
    <definedName name="Z_185B1D6B_988C_4819_B119_9DBF81846F69_.wvu.PrintArea" localSheetId="0" hidden="1">CALCU!$C$240:$Y$286</definedName>
    <definedName name="Z_185B1D6B_988C_4819_B119_9DBF81846F69_.wvu.PrintArea" localSheetId="3" hidden="1">TRESO!$A$1:$N$93,TRESO!$P$1:$AA$46,TRESO!$AC$1:$AK$27</definedName>
    <definedName name="Z_185B1D6B_988C_4819_B119_9DBF81846F69_.wvu.PrintTitles" localSheetId="0" hidden="1">CALCU!$194:$204</definedName>
    <definedName name="Z_185B1D6B_988C_4819_B119_9DBF81846F69_.wvu.Rows" localSheetId="2" hidden="1">BILAN!$32:$34</definedName>
    <definedName name="_xlnm.Print_Area" localSheetId="2">BILAN!$O$14:$AG$114,BILAN!$BD$200:$BK$273</definedName>
    <definedName name="_xlnm.Print_Area" localSheetId="0">CALCU!$C$288:$Y$337</definedName>
    <definedName name="_xlnm.Print_Area" localSheetId="3">TRESO!$A$1:$N$93,TRESO!$P$1:$AA$46,TRESO!$AC$1:$AK$29</definedName>
    <definedName name="ZONE_MSG1">TRESO!$F$17</definedName>
    <definedName name="ZONE_MSG2">TRESO!$F$18</definedName>
  </definedNames>
  <calcPr calcId="191029"/>
  <customWorkbookViews>
    <customWorkbookView name="BCATELIN - Affichage personnalisé" guid="{185B1D6B-988C-4819-B119-9DBF81846F69}" mergeInterval="0" personalView="1" maximized="1" windowWidth="1020" windowHeight="579" tabRatio="601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3" l="1"/>
  <c r="E70" i="3" l="1"/>
  <c r="E50" i="3" l="1"/>
  <c r="H17" i="4" l="1"/>
  <c r="N11" i="4"/>
  <c r="H6" i="4"/>
  <c r="N203" i="1"/>
  <c r="R87" i="3"/>
  <c r="AY76" i="3"/>
  <c r="Y26" i="3"/>
  <c r="X18" i="3"/>
  <c r="X16" i="3"/>
  <c r="Y18" i="3"/>
  <c r="E147" i="3"/>
  <c r="E149" i="3"/>
  <c r="BH234" i="3"/>
  <c r="L16" i="3"/>
  <c r="Y16" i="3"/>
  <c r="AG27" i="3"/>
  <c r="AF27" i="3"/>
  <c r="AE27" i="3"/>
  <c r="AC27" i="3"/>
  <c r="AL24" i="3"/>
  <c r="V16" i="3"/>
  <c r="X17" i="3"/>
  <c r="V17" i="3"/>
  <c r="BJ238" i="3"/>
  <c r="BJ237" i="3"/>
  <c r="BJ236" i="3"/>
  <c r="BH238" i="3"/>
  <c r="BI237" i="3"/>
  <c r="BH237" i="3"/>
  <c r="BF237" i="3"/>
  <c r="BK235" i="3"/>
  <c r="BJ235" i="3"/>
  <c r="BH235" i="3"/>
  <c r="BF235" i="3"/>
  <c r="BK233" i="3"/>
  <c r="BJ233" i="3"/>
  <c r="BH233" i="3"/>
  <c r="BF233" i="3"/>
  <c r="C155" i="3"/>
  <c r="BF240" i="3" s="1"/>
  <c r="BK239" i="3"/>
  <c r="BK234" i="3"/>
  <c r="BK232" i="3"/>
  <c r="BJ239" i="3"/>
  <c r="BJ234" i="3"/>
  <c r="BJ232" i="3"/>
  <c r="BI239" i="3"/>
  <c r="BI236" i="3"/>
  <c r="BJ240" i="3"/>
  <c r="BH240" i="3"/>
  <c r="BH239" i="3"/>
  <c r="BH236" i="3"/>
  <c r="BH232" i="3"/>
  <c r="BF239" i="3"/>
  <c r="BF238" i="3"/>
  <c r="BF236" i="3"/>
  <c r="BF234" i="3"/>
  <c r="BF232" i="3"/>
  <c r="V18" i="3"/>
  <c r="X19" i="3"/>
  <c r="V19" i="3"/>
  <c r="X20" i="3"/>
  <c r="V20" i="3"/>
  <c r="X21" i="3"/>
  <c r="V21" i="3"/>
  <c r="X22" i="3"/>
  <c r="V22" i="3"/>
  <c r="X23" i="3"/>
  <c r="V23" i="3"/>
  <c r="X24" i="3"/>
  <c r="V24" i="3"/>
  <c r="X25" i="3"/>
  <c r="V25" i="3"/>
  <c r="X26" i="3"/>
  <c r="V26" i="3"/>
  <c r="AG20" i="3"/>
  <c r="AG26" i="3"/>
  <c r="AG28" i="3"/>
  <c r="AG29" i="3"/>
  <c r="AE31" i="3"/>
  <c r="AL16" i="3"/>
  <c r="AL17" i="3"/>
  <c r="AL19" i="3"/>
  <c r="AL23" i="3"/>
  <c r="D102" i="3"/>
  <c r="D104" i="3"/>
  <c r="D95" i="3"/>
  <c r="S95" i="3"/>
  <c r="AU95" i="3" s="1"/>
  <c r="E95" i="3"/>
  <c r="D56" i="3"/>
  <c r="AH56" i="3"/>
  <c r="D57" i="3"/>
  <c r="S57" i="3" s="1"/>
  <c r="AI57" i="3" s="1"/>
  <c r="U57" i="3" s="1"/>
  <c r="AH57" i="3"/>
  <c r="AY16" i="3"/>
  <c r="AY17" i="3"/>
  <c r="P132" i="3"/>
  <c r="BI217" i="3" s="1"/>
  <c r="P133" i="3"/>
  <c r="G63" i="3"/>
  <c r="AH63" i="3" s="1"/>
  <c r="AH66" i="3"/>
  <c r="D84" i="3"/>
  <c r="A84" i="3" s="1"/>
  <c r="AW84" i="3" s="1"/>
  <c r="E84" i="3"/>
  <c r="D86" i="3"/>
  <c r="E86" i="3"/>
  <c r="D48" i="3"/>
  <c r="A48" i="3" s="1"/>
  <c r="AW48" i="3" s="1"/>
  <c r="G48" i="3"/>
  <c r="AH48" i="3" s="1"/>
  <c r="D49" i="3"/>
  <c r="G49" i="3"/>
  <c r="AH49" i="3" s="1"/>
  <c r="D50" i="3"/>
  <c r="S50" i="3" s="1"/>
  <c r="AU50" i="3" s="1"/>
  <c r="G50" i="3"/>
  <c r="AH50" i="3" s="1"/>
  <c r="D51" i="3"/>
  <c r="S51" i="3" s="1"/>
  <c r="E51" i="3"/>
  <c r="AH51" i="3"/>
  <c r="D52" i="3"/>
  <c r="E52" i="3"/>
  <c r="G52" i="3"/>
  <c r="AH52" i="3" s="1"/>
  <c r="D38" i="3"/>
  <c r="A38" i="3" s="1"/>
  <c r="AW38" i="3" s="1"/>
  <c r="AH38" i="3"/>
  <c r="D39" i="3"/>
  <c r="A39" i="3" s="1"/>
  <c r="AW39" i="3" s="1"/>
  <c r="G39" i="3"/>
  <c r="AH39" i="3" s="1"/>
  <c r="D40" i="3"/>
  <c r="AL40" i="3" s="1"/>
  <c r="G40" i="3"/>
  <c r="AH40" i="3" s="1"/>
  <c r="D41" i="3"/>
  <c r="S41" i="3" s="1"/>
  <c r="AH41" i="3"/>
  <c r="D42" i="3"/>
  <c r="AL42" i="3" s="1"/>
  <c r="AH42" i="3"/>
  <c r="D43" i="3"/>
  <c r="AY43" i="3" s="1"/>
  <c r="E43" i="3"/>
  <c r="AH43" i="3"/>
  <c r="D44" i="3"/>
  <c r="S44" i="3" s="1"/>
  <c r="AI44" i="3" s="1"/>
  <c r="U44" i="3" s="1"/>
  <c r="N32" i="4" s="1"/>
  <c r="AH44" i="3"/>
  <c r="D45" i="3"/>
  <c r="S45" i="3" s="1"/>
  <c r="E45" i="3"/>
  <c r="AY45" i="3" s="1"/>
  <c r="AH45" i="3"/>
  <c r="D89" i="3"/>
  <c r="E89" i="3"/>
  <c r="R89" i="3" s="1"/>
  <c r="D70" i="3"/>
  <c r="A70" i="3" s="1"/>
  <c r="AW70" i="3" s="1"/>
  <c r="D73" i="3"/>
  <c r="R73" i="3" s="1"/>
  <c r="E73" i="3"/>
  <c r="D74" i="3"/>
  <c r="A74" i="3" s="1"/>
  <c r="AW74" i="3" s="1"/>
  <c r="D75" i="3"/>
  <c r="AH70" i="3"/>
  <c r="AH71" i="3"/>
  <c r="AH77" i="3"/>
  <c r="AH84" i="3"/>
  <c r="AH85" i="3"/>
  <c r="D78" i="3"/>
  <c r="D79" i="3"/>
  <c r="A79" i="3" s="1"/>
  <c r="AW79" i="3" s="1"/>
  <c r="P136" i="3"/>
  <c r="BI221" i="3" s="1"/>
  <c r="P135" i="3"/>
  <c r="BI220" i="3" s="1"/>
  <c r="M133" i="3"/>
  <c r="BI219" i="3"/>
  <c r="BI218" i="3"/>
  <c r="BK210" i="3"/>
  <c r="BK209" i="3"/>
  <c r="BJ209" i="3"/>
  <c r="BK208" i="3"/>
  <c r="BK207" i="3"/>
  <c r="BK206" i="3"/>
  <c r="BK205" i="3"/>
  <c r="BJ210" i="3"/>
  <c r="BJ208" i="3"/>
  <c r="BJ207" i="3"/>
  <c r="BJ206" i="3"/>
  <c r="BJ205" i="3"/>
  <c r="BI210" i="3"/>
  <c r="BI209" i="3"/>
  <c r="BI208" i="3"/>
  <c r="BI207" i="3"/>
  <c r="BI206" i="3"/>
  <c r="BI205" i="3"/>
  <c r="BH206" i="3"/>
  <c r="BH205" i="3"/>
  <c r="E138" i="3"/>
  <c r="BG211" i="3" s="1"/>
  <c r="BG210" i="3"/>
  <c r="BG209" i="3"/>
  <c r="BG208" i="3"/>
  <c r="BG207" i="3"/>
  <c r="BG206" i="3"/>
  <c r="BG205" i="3"/>
  <c r="E199" i="1"/>
  <c r="Q2" i="1" s="1"/>
  <c r="E200" i="1"/>
  <c r="R2" i="1" s="1"/>
  <c r="E201" i="1"/>
  <c r="S2" i="1" s="1"/>
  <c r="E202" i="1"/>
  <c r="T2" i="1" s="1"/>
  <c r="E203" i="1"/>
  <c r="U2" i="1" s="1"/>
  <c r="G199" i="1"/>
  <c r="V2" i="1" s="1"/>
  <c r="G200" i="1"/>
  <c r="W2" i="1" s="1"/>
  <c r="G201" i="1"/>
  <c r="X2" i="1" s="1"/>
  <c r="G202" i="1"/>
  <c r="Y2" i="1" s="1"/>
  <c r="G203" i="1"/>
  <c r="Z2" i="1" s="1"/>
  <c r="F197" i="1"/>
  <c r="E136" i="1" s="1"/>
  <c r="P5" i="1"/>
  <c r="Q5" i="1"/>
  <c r="R5" i="1"/>
  <c r="S5" i="1"/>
  <c r="T5" i="1"/>
  <c r="BG5" i="1"/>
  <c r="BF5" i="1" s="1"/>
  <c r="P6" i="1"/>
  <c r="Q6" i="1"/>
  <c r="R6" i="1"/>
  <c r="S6" i="1"/>
  <c r="T6" i="1"/>
  <c r="BG6" i="1"/>
  <c r="P7" i="1"/>
  <c r="Q7" i="1"/>
  <c r="R7" i="1"/>
  <c r="S7" i="1"/>
  <c r="T7" i="1"/>
  <c r="BG7" i="1"/>
  <c r="P8" i="1"/>
  <c r="Q8" i="1"/>
  <c r="R8" i="1"/>
  <c r="S8" i="1"/>
  <c r="T8" i="1"/>
  <c r="BG8" i="1"/>
  <c r="BF8" i="1" s="1"/>
  <c r="P9" i="1"/>
  <c r="Q9" i="1"/>
  <c r="R9" i="1"/>
  <c r="S9" i="1"/>
  <c r="T9" i="1"/>
  <c r="BG9" i="1"/>
  <c r="BF9" i="1" s="1"/>
  <c r="P10" i="1"/>
  <c r="Q10" i="1"/>
  <c r="R10" i="1"/>
  <c r="S10" i="1"/>
  <c r="T10" i="1"/>
  <c r="BG10" i="1"/>
  <c r="P11" i="1"/>
  <c r="Q11" i="1"/>
  <c r="R11" i="1"/>
  <c r="S11" i="1"/>
  <c r="T11" i="1"/>
  <c r="BG11" i="1"/>
  <c r="P12" i="1"/>
  <c r="Q12" i="1"/>
  <c r="R12" i="1"/>
  <c r="S12" i="1"/>
  <c r="T12" i="1"/>
  <c r="BG12" i="1"/>
  <c r="P13" i="1"/>
  <c r="Q13" i="1"/>
  <c r="R13" i="1"/>
  <c r="S13" i="1"/>
  <c r="T13" i="1"/>
  <c r="BG13" i="1"/>
  <c r="BF13" i="1" s="1"/>
  <c r="P15" i="1"/>
  <c r="Q15" i="1"/>
  <c r="R15" i="1"/>
  <c r="S15" i="1"/>
  <c r="T15" i="1"/>
  <c r="BG15" i="1"/>
  <c r="P16" i="1"/>
  <c r="Q16" i="1"/>
  <c r="R16" i="1"/>
  <c r="S16" i="1"/>
  <c r="T16" i="1"/>
  <c r="BG16" i="1"/>
  <c r="P17" i="1"/>
  <c r="Q17" i="1"/>
  <c r="R17" i="1"/>
  <c r="S17" i="1"/>
  <c r="T17" i="1"/>
  <c r="BG17" i="1"/>
  <c r="BF17" i="1" s="1"/>
  <c r="P18" i="1"/>
  <c r="Q18" i="1"/>
  <c r="R18" i="1"/>
  <c r="S18" i="1"/>
  <c r="T18" i="1"/>
  <c r="BG18" i="1"/>
  <c r="BF18" i="1" s="1"/>
  <c r="P19" i="1"/>
  <c r="Q19" i="1"/>
  <c r="R19" i="1"/>
  <c r="S19" i="1"/>
  <c r="T19" i="1"/>
  <c r="BG19" i="1"/>
  <c r="P20" i="1"/>
  <c r="Q20" i="1"/>
  <c r="R20" i="1"/>
  <c r="S20" i="1"/>
  <c r="T20" i="1"/>
  <c r="BG20" i="1"/>
  <c r="P22" i="1"/>
  <c r="Q22" i="1"/>
  <c r="R22" i="1"/>
  <c r="S22" i="1"/>
  <c r="T22" i="1"/>
  <c r="BG22" i="1"/>
  <c r="BF22" i="1" s="1"/>
  <c r="P23" i="1"/>
  <c r="Q23" i="1"/>
  <c r="R23" i="1"/>
  <c r="S23" i="1"/>
  <c r="T23" i="1"/>
  <c r="BF23" i="1"/>
  <c r="BH23" i="1" s="1"/>
  <c r="BG23" i="1"/>
  <c r="P24" i="1"/>
  <c r="Q24" i="1"/>
  <c r="R24" i="1"/>
  <c r="S24" i="1"/>
  <c r="T24" i="1"/>
  <c r="BG24" i="1"/>
  <c r="BF24" i="1" s="1"/>
  <c r="BH24" i="1" s="1"/>
  <c r="P25" i="1"/>
  <c r="Q25" i="1"/>
  <c r="R25" i="1"/>
  <c r="S25" i="1"/>
  <c r="T25" i="1"/>
  <c r="BG25" i="1"/>
  <c r="BF25" i="1" s="1"/>
  <c r="P26" i="1"/>
  <c r="Q26" i="1"/>
  <c r="R26" i="1"/>
  <c r="S26" i="1"/>
  <c r="T26" i="1"/>
  <c r="BG26" i="1"/>
  <c r="R27" i="1"/>
  <c r="T27" i="1"/>
  <c r="T30" i="1" s="1"/>
  <c r="U27" i="1"/>
  <c r="U42" i="1" s="1"/>
  <c r="V27" i="1"/>
  <c r="V54" i="1" s="1"/>
  <c r="W27" i="1"/>
  <c r="W42" i="1" s="1"/>
  <c r="X27" i="1"/>
  <c r="X30" i="1" s="1"/>
  <c r="X36" i="1"/>
  <c r="Y27" i="1"/>
  <c r="Z27" i="1"/>
  <c r="Z30" i="1" s="1"/>
  <c r="R28" i="1"/>
  <c r="T28" i="1"/>
  <c r="U28" i="1"/>
  <c r="V28" i="1"/>
  <c r="V63" i="1" s="1"/>
  <c r="U64" i="1" s="1"/>
  <c r="W28" i="1"/>
  <c r="X28" i="1"/>
  <c r="Y28" i="1"/>
  <c r="Z28" i="1"/>
  <c r="Z45" i="1" s="1"/>
  <c r="R30" i="1"/>
  <c r="V30" i="1"/>
  <c r="AA30" i="1"/>
  <c r="R31" i="1"/>
  <c r="R32" i="1" s="1"/>
  <c r="S31" i="1"/>
  <c r="S32" i="1" s="1"/>
  <c r="Q89" i="1" s="1"/>
  <c r="T31" i="1"/>
  <c r="T32" i="1" s="1"/>
  <c r="U31" i="1"/>
  <c r="U32" i="1" s="1"/>
  <c r="V31" i="1"/>
  <c r="V32" i="1" s="1"/>
  <c r="W31" i="1"/>
  <c r="W32" i="1" s="1"/>
  <c r="X31" i="1"/>
  <c r="Y31" i="1"/>
  <c r="Y32" i="1" s="1"/>
  <c r="Z31" i="1"/>
  <c r="BF31" i="1"/>
  <c r="BG31" i="1" s="1"/>
  <c r="Z33" i="1" s="1"/>
  <c r="Y34" i="1" s="1"/>
  <c r="X32" i="1"/>
  <c r="X117" i="1"/>
  <c r="R36" i="1"/>
  <c r="AA36" i="1"/>
  <c r="R37" i="1"/>
  <c r="R38" i="1" s="1"/>
  <c r="V82" i="1" s="1"/>
  <c r="S37" i="1"/>
  <c r="S38" i="1" s="1"/>
  <c r="T37" i="1"/>
  <c r="T38" i="1" s="1"/>
  <c r="U37" i="1"/>
  <c r="U38" i="1" s="1"/>
  <c r="V37" i="1"/>
  <c r="V38" i="1" s="1"/>
  <c r="W37" i="1"/>
  <c r="W38" i="1" s="1"/>
  <c r="X37" i="1"/>
  <c r="X38" i="1" s="1"/>
  <c r="Y37" i="1"/>
  <c r="Y38" i="1" s="1"/>
  <c r="Z37" i="1"/>
  <c r="Z38" i="1" s="1"/>
  <c r="BF37" i="1"/>
  <c r="BG37" i="1" s="1"/>
  <c r="AB117" i="1"/>
  <c r="AA41" i="1" s="1"/>
  <c r="R42" i="1"/>
  <c r="X42" i="1"/>
  <c r="AA42" i="1"/>
  <c r="R43" i="1"/>
  <c r="R44" i="1" s="1"/>
  <c r="AC82" i="1" s="1"/>
  <c r="S43" i="1"/>
  <c r="S44" i="1" s="1"/>
  <c r="T43" i="1"/>
  <c r="T44" i="1" s="1"/>
  <c r="U43" i="1"/>
  <c r="U44" i="1" s="1"/>
  <c r="V43" i="1"/>
  <c r="V44" i="1" s="1"/>
  <c r="W43" i="1"/>
  <c r="W44" i="1" s="1"/>
  <c r="X43" i="1"/>
  <c r="X44" i="1" s="1"/>
  <c r="Y43" i="1"/>
  <c r="Y44" i="1" s="1"/>
  <c r="Z43" i="1"/>
  <c r="AA43" i="1" s="1"/>
  <c r="AA44" i="1" s="1"/>
  <c r="BF43" i="1"/>
  <c r="BG43" i="1" s="1"/>
  <c r="AF117" i="1"/>
  <c r="X47" i="1" s="1"/>
  <c r="R48" i="1"/>
  <c r="AA48" i="1"/>
  <c r="R49" i="1"/>
  <c r="R50" i="1" s="1"/>
  <c r="S49" i="1"/>
  <c r="S50" i="1" s="1"/>
  <c r="AL88" i="1" s="1"/>
  <c r="T49" i="1"/>
  <c r="T50" i="1" s="1"/>
  <c r="U49" i="1"/>
  <c r="U50" i="1" s="1"/>
  <c r="V49" i="1"/>
  <c r="V50" i="1" s="1"/>
  <c r="W49" i="1"/>
  <c r="W50" i="1" s="1"/>
  <c r="X49" i="1"/>
  <c r="X50" i="1" s="1"/>
  <c r="Y49" i="1"/>
  <c r="Y50" i="1" s="1"/>
  <c r="Z49" i="1"/>
  <c r="BF49" i="1"/>
  <c r="BG49" i="1" s="1"/>
  <c r="BH49" i="1" s="1"/>
  <c r="AJ117" i="1"/>
  <c r="R54" i="1"/>
  <c r="X54" i="1"/>
  <c r="Z54" i="1"/>
  <c r="AA54" i="1"/>
  <c r="R55" i="1"/>
  <c r="R56" i="1" s="1"/>
  <c r="AQ80" i="1" s="1"/>
  <c r="S55" i="1"/>
  <c r="T55" i="1"/>
  <c r="T56" i="1" s="1"/>
  <c r="U55" i="1"/>
  <c r="U56" i="1" s="1"/>
  <c r="V55" i="1"/>
  <c r="V56" i="1" s="1"/>
  <c r="W55" i="1"/>
  <c r="W56" i="1" s="1"/>
  <c r="X55" i="1"/>
  <c r="X56" i="1" s="1"/>
  <c r="Y55" i="1"/>
  <c r="Y56" i="1" s="1"/>
  <c r="Z55" i="1"/>
  <c r="BF55" i="1"/>
  <c r="BG55" i="1" s="1"/>
  <c r="S56" i="1"/>
  <c r="AS88" i="1" s="1"/>
  <c r="AN117" i="1"/>
  <c r="R60" i="1"/>
  <c r="X60" i="1"/>
  <c r="AA60" i="1"/>
  <c r="Q61" i="1"/>
  <c r="Q62" i="1" s="1"/>
  <c r="R61" i="1"/>
  <c r="R62" i="1" s="1"/>
  <c r="S61" i="1"/>
  <c r="S62" i="1" s="1"/>
  <c r="AZ93" i="1" s="1"/>
  <c r="T61" i="1"/>
  <c r="U61" i="1"/>
  <c r="U62" i="1" s="1"/>
  <c r="V61" i="1"/>
  <c r="V62" i="1" s="1"/>
  <c r="W61" i="1"/>
  <c r="W62" i="1" s="1"/>
  <c r="X61" i="1"/>
  <c r="Y61" i="1"/>
  <c r="Y62" i="1" s="1"/>
  <c r="Z61" i="1"/>
  <c r="BF61" i="1"/>
  <c r="BG61" i="1" s="1"/>
  <c r="T62" i="1"/>
  <c r="X62" i="1"/>
  <c r="AR117" i="1"/>
  <c r="C67" i="1"/>
  <c r="AS117" i="1" s="1"/>
  <c r="E67" i="1"/>
  <c r="P69" i="1"/>
  <c r="Q69" i="1"/>
  <c r="R69" i="1"/>
  <c r="S69" i="1"/>
  <c r="T69" i="1"/>
  <c r="BG69" i="1"/>
  <c r="P70" i="1"/>
  <c r="Q70" i="1"/>
  <c r="R70" i="1"/>
  <c r="S70" i="1"/>
  <c r="T70" i="1"/>
  <c r="BG70" i="1"/>
  <c r="P71" i="1"/>
  <c r="Q71" i="1"/>
  <c r="R71" i="1"/>
  <c r="S71" i="1"/>
  <c r="T71" i="1"/>
  <c r="BG71" i="1"/>
  <c r="P72" i="1"/>
  <c r="Q72" i="1"/>
  <c r="R72" i="1"/>
  <c r="S72" i="1"/>
  <c r="T72" i="1"/>
  <c r="BG72" i="1"/>
  <c r="P73" i="1"/>
  <c r="Q73" i="1"/>
  <c r="R73" i="1"/>
  <c r="S73" i="1"/>
  <c r="T73" i="1"/>
  <c r="BG73" i="1"/>
  <c r="P74" i="1"/>
  <c r="Q74" i="1"/>
  <c r="R74" i="1"/>
  <c r="S74" i="1"/>
  <c r="T74" i="1"/>
  <c r="BG74" i="1"/>
  <c r="BF74" i="1" s="1"/>
  <c r="BH74" i="1" s="1"/>
  <c r="P75" i="1"/>
  <c r="Q75" i="1"/>
  <c r="R75" i="1"/>
  <c r="S75" i="1"/>
  <c r="T75" i="1"/>
  <c r="BG75" i="1"/>
  <c r="P76" i="1"/>
  <c r="Q76" i="1"/>
  <c r="R76" i="1"/>
  <c r="S76" i="1"/>
  <c r="T76" i="1"/>
  <c r="BG76" i="1"/>
  <c r="BF78" i="1"/>
  <c r="BG78" i="1" s="1"/>
  <c r="BH78" i="1" s="1"/>
  <c r="BF79" i="1"/>
  <c r="BG79" i="1" s="1"/>
  <c r="BH79" i="1" s="1"/>
  <c r="BF80" i="1"/>
  <c r="BG80" i="1" s="1"/>
  <c r="BF81" i="1"/>
  <c r="BG81" i="1" s="1"/>
  <c r="BF82" i="1"/>
  <c r="BG82" i="1" s="1"/>
  <c r="AQ83" i="1"/>
  <c r="BF83" i="1"/>
  <c r="BG83" i="1" s="1"/>
  <c r="BH83" i="1" s="1"/>
  <c r="BF84" i="1"/>
  <c r="BG84" i="1" s="1"/>
  <c r="BF85" i="1"/>
  <c r="BG85" i="1" s="1"/>
  <c r="BF87" i="1"/>
  <c r="BG87" i="1" s="1"/>
  <c r="AQ88" i="1"/>
  <c r="BF88" i="1"/>
  <c r="BG88" i="1" s="1"/>
  <c r="BF89" i="1"/>
  <c r="BG89" i="1" s="1"/>
  <c r="BF90" i="1"/>
  <c r="BG90" i="1" s="1"/>
  <c r="AQ91" i="1"/>
  <c r="BF91" i="1"/>
  <c r="BG91" i="1" s="1"/>
  <c r="O92" i="1"/>
  <c r="BF92" i="1"/>
  <c r="BG92" i="1" s="1"/>
  <c r="AS93" i="1"/>
  <c r="BF93" i="1"/>
  <c r="BG93" i="1" s="1"/>
  <c r="BH93" i="1" s="1"/>
  <c r="BF94" i="1"/>
  <c r="BG94" i="1" s="1"/>
  <c r="BH94" i="1" s="1"/>
  <c r="P96" i="1"/>
  <c r="Q96" i="1"/>
  <c r="BN96" i="1" s="1"/>
  <c r="R96" i="1"/>
  <c r="S96" i="1"/>
  <c r="T96" i="1"/>
  <c r="U96" i="1"/>
  <c r="BF96" i="1"/>
  <c r="BG96" i="1" s="1"/>
  <c r="BH96" i="1" s="1"/>
  <c r="S197" i="1"/>
  <c r="BF134" i="1" s="1"/>
  <c r="BG134" i="1" s="1"/>
  <c r="BH134" i="1" s="1"/>
  <c r="BM100" i="1"/>
  <c r="BN100" i="1"/>
  <c r="V101" i="1"/>
  <c r="AE101" i="1"/>
  <c r="BM101" i="1"/>
  <c r="BN101" i="1"/>
  <c r="BM102" i="1"/>
  <c r="BN102" i="1"/>
  <c r="BM103" i="1"/>
  <c r="BN103" i="1"/>
  <c r="BF136" i="1"/>
  <c r="BG136" i="1" s="1"/>
  <c r="BH136" i="1" s="1"/>
  <c r="S104" i="1"/>
  <c r="AE104" i="1"/>
  <c r="BM104" i="1"/>
  <c r="BN104" i="1"/>
  <c r="BM105" i="1"/>
  <c r="BN105" i="1"/>
  <c r="BF106" i="1"/>
  <c r="BG111" i="1"/>
  <c r="BH111" i="1" s="1"/>
  <c r="P115" i="1"/>
  <c r="Q115" i="1"/>
  <c r="R115" i="1"/>
  <c r="S115" i="1"/>
  <c r="T115" i="1"/>
  <c r="BG115" i="1"/>
  <c r="BF115" i="1" s="1"/>
  <c r="Z117" i="1"/>
  <c r="P116" i="1"/>
  <c r="Q116" i="1"/>
  <c r="R116" i="1"/>
  <c r="S116" i="1"/>
  <c r="T116" i="1"/>
  <c r="P117" i="1"/>
  <c r="Q117" i="1"/>
  <c r="R117" i="1"/>
  <c r="S117" i="1"/>
  <c r="T117" i="1"/>
  <c r="AA117" i="1"/>
  <c r="AD117" i="1"/>
  <c r="AE117" i="1"/>
  <c r="AH117" i="1"/>
  <c r="AI117" i="1"/>
  <c r="AL117" i="1"/>
  <c r="AM117" i="1"/>
  <c r="AP117" i="1"/>
  <c r="AQ117" i="1"/>
  <c r="AT117" i="1"/>
  <c r="AU117" i="1"/>
  <c r="BG117" i="1"/>
  <c r="BF117" i="1" s="1"/>
  <c r="P118" i="1"/>
  <c r="Q118" i="1"/>
  <c r="R118" i="1"/>
  <c r="S118" i="1"/>
  <c r="T118" i="1"/>
  <c r="P119" i="1"/>
  <c r="Q119" i="1"/>
  <c r="R119" i="1"/>
  <c r="S119" i="1"/>
  <c r="T119" i="1"/>
  <c r="BG119" i="1"/>
  <c r="BF119" i="1" s="1"/>
  <c r="P120" i="1"/>
  <c r="Q120" i="1"/>
  <c r="R120" i="1"/>
  <c r="S120" i="1"/>
  <c r="T120" i="1"/>
  <c r="P121" i="1"/>
  <c r="Q121" i="1"/>
  <c r="R121" i="1"/>
  <c r="S121" i="1"/>
  <c r="T121" i="1"/>
  <c r="BG121" i="1"/>
  <c r="BF121" i="1" s="1"/>
  <c r="P122" i="1"/>
  <c r="Q122" i="1"/>
  <c r="R122" i="1"/>
  <c r="S122" i="1"/>
  <c r="T122" i="1"/>
  <c r="P123" i="1"/>
  <c r="Q123" i="1"/>
  <c r="R123" i="1"/>
  <c r="S123" i="1"/>
  <c r="T123" i="1"/>
  <c r="BG123" i="1"/>
  <c r="BF123" i="1" s="1"/>
  <c r="P124" i="1"/>
  <c r="Q124" i="1"/>
  <c r="R124" i="1"/>
  <c r="S124" i="1"/>
  <c r="T124" i="1"/>
  <c r="P125" i="1"/>
  <c r="Q125" i="1"/>
  <c r="R125" i="1"/>
  <c r="S125" i="1"/>
  <c r="T125" i="1"/>
  <c r="BG125" i="1"/>
  <c r="BF125" i="1"/>
  <c r="BH125" i="1" s="1"/>
  <c r="P126" i="1"/>
  <c r="Q126" i="1"/>
  <c r="R126" i="1"/>
  <c r="S126" i="1"/>
  <c r="T126" i="1"/>
  <c r="D128" i="1"/>
  <c r="P128" i="1" s="1"/>
  <c r="E128" i="1"/>
  <c r="F128" i="1"/>
  <c r="Q128" i="1" s="1"/>
  <c r="G128" i="1"/>
  <c r="H128" i="1"/>
  <c r="I128" i="1"/>
  <c r="J128" i="1"/>
  <c r="S128" i="1" s="1"/>
  <c r="K128" i="1"/>
  <c r="L128" i="1"/>
  <c r="T128" i="1"/>
  <c r="M128" i="1"/>
  <c r="R128" i="1"/>
  <c r="M196" i="1"/>
  <c r="BG128" i="1" s="1"/>
  <c r="M200" i="1"/>
  <c r="D129" i="1"/>
  <c r="F129" i="1"/>
  <c r="Q129" i="1" s="1"/>
  <c r="H129" i="1"/>
  <c r="R129" i="1"/>
  <c r="J129" i="1"/>
  <c r="S129" i="1" s="1"/>
  <c r="L129" i="1"/>
  <c r="T129" i="1" s="1"/>
  <c r="E129" i="1"/>
  <c r="G129" i="1"/>
  <c r="I129" i="1"/>
  <c r="K129" i="1"/>
  <c r="M129" i="1"/>
  <c r="BL130" i="1"/>
  <c r="P138" i="1"/>
  <c r="Q138" i="1"/>
  <c r="R138" i="1"/>
  <c r="S138" i="1"/>
  <c r="T138" i="1"/>
  <c r="U138" i="1"/>
  <c r="V138" i="1"/>
  <c r="P139" i="1"/>
  <c r="Q139" i="1"/>
  <c r="R139" i="1"/>
  <c r="S139" i="1"/>
  <c r="T139" i="1"/>
  <c r="U139" i="1"/>
  <c r="V139" i="1"/>
  <c r="BH140" i="1"/>
  <c r="P141" i="1"/>
  <c r="Q141" i="1"/>
  <c r="R141" i="1"/>
  <c r="S141" i="1"/>
  <c r="T141" i="1"/>
  <c r="U141" i="1"/>
  <c r="V141" i="1"/>
  <c r="BM145" i="1"/>
  <c r="BN145" i="1"/>
  <c r="BM151" i="1"/>
  <c r="BM155" i="1"/>
  <c r="BN155" i="1"/>
  <c r="BM159" i="1"/>
  <c r="BN159" i="1" s="1"/>
  <c r="BM163" i="1"/>
  <c r="BN163" i="1" s="1"/>
  <c r="BM167" i="1"/>
  <c r="BN167" i="1" s="1"/>
  <c r="BM171" i="1"/>
  <c r="BN171" i="1" s="1"/>
  <c r="BL175" i="1"/>
  <c r="BL176" i="1"/>
  <c r="BL177" i="1"/>
  <c r="BL178" i="1"/>
  <c r="BL179" i="1"/>
  <c r="BL180" i="1"/>
  <c r="C1" i="4"/>
  <c r="F194" i="1" s="1"/>
  <c r="X194" i="1"/>
  <c r="C2" i="4"/>
  <c r="F195" i="1" s="1"/>
  <c r="F196" i="1"/>
  <c r="P196" i="1"/>
  <c r="H197" i="1"/>
  <c r="F199" i="1"/>
  <c r="H199" i="1"/>
  <c r="F200" i="1"/>
  <c r="H200" i="1"/>
  <c r="F201" i="1"/>
  <c r="H201" i="1"/>
  <c r="F202" i="1"/>
  <c r="H202" i="1"/>
  <c r="F203" i="1"/>
  <c r="H203" i="1"/>
  <c r="F205" i="1"/>
  <c r="G205" i="1" s="1"/>
  <c r="H205" i="1" s="1"/>
  <c r="A207" i="1"/>
  <c r="B207" i="1"/>
  <c r="A208" i="1"/>
  <c r="B208" i="1"/>
  <c r="A209" i="1"/>
  <c r="B209" i="1"/>
  <c r="A210" i="1"/>
  <c r="B210" i="1"/>
  <c r="A217" i="1"/>
  <c r="B217" i="1"/>
  <c r="A220" i="1"/>
  <c r="B220" i="1"/>
  <c r="A221" i="1"/>
  <c r="B221" i="1"/>
  <c r="A222" i="1"/>
  <c r="B222" i="1"/>
  <c r="A223" i="1"/>
  <c r="B223" i="1"/>
  <c r="A224" i="1"/>
  <c r="B224" i="1"/>
  <c r="A226" i="1"/>
  <c r="B226" i="1"/>
  <c r="A227" i="1"/>
  <c r="B227" i="1"/>
  <c r="A228" i="1"/>
  <c r="B228" i="1"/>
  <c r="E223" i="1"/>
  <c r="A225" i="1"/>
  <c r="B225" i="1"/>
  <c r="I1" i="3"/>
  <c r="D100" i="3"/>
  <c r="A100" i="3" s="1"/>
  <c r="AW100" i="3" s="1"/>
  <c r="D101" i="3"/>
  <c r="D97" i="3"/>
  <c r="D58" i="3"/>
  <c r="AL58" i="3" s="1"/>
  <c r="AH58" i="3"/>
  <c r="AY18" i="3"/>
  <c r="AY19" i="3"/>
  <c r="AY20" i="3"/>
  <c r="AY21" i="3"/>
  <c r="AY22" i="3"/>
  <c r="AY23" i="3"/>
  <c r="AY24" i="3"/>
  <c r="AY25" i="3"/>
  <c r="AY26" i="3"/>
  <c r="D60" i="3"/>
  <c r="R60" i="3" s="1"/>
  <c r="AH60" i="3"/>
  <c r="AO60" i="3" s="1"/>
  <c r="D61" i="3"/>
  <c r="AX61" i="3" s="1"/>
  <c r="AH61" i="3"/>
  <c r="D62" i="3"/>
  <c r="A62" i="3" s="1"/>
  <c r="AW62" i="3" s="1"/>
  <c r="AS62" i="3"/>
  <c r="D63" i="3"/>
  <c r="A63" i="3" s="1"/>
  <c r="AW63" i="3" s="1"/>
  <c r="D64" i="3"/>
  <c r="AZ64" i="3"/>
  <c r="AH64" i="3"/>
  <c r="D67" i="3"/>
  <c r="AH67" i="3"/>
  <c r="D53" i="3"/>
  <c r="AL53" i="3" s="1"/>
  <c r="AH53" i="3"/>
  <c r="D46" i="3"/>
  <c r="A46" i="3" s="1"/>
  <c r="AW46" i="3" s="1"/>
  <c r="AH46" i="3"/>
  <c r="D90" i="3"/>
  <c r="AY90" i="3" s="1"/>
  <c r="D80" i="3"/>
  <c r="D81" i="3"/>
  <c r="AX81" i="3" s="1"/>
  <c r="D82" i="3"/>
  <c r="I2" i="3"/>
  <c r="M2" i="3"/>
  <c r="A49" i="3"/>
  <c r="AW49" i="3" s="1"/>
  <c r="A51" i="3"/>
  <c r="AW51" i="3" s="1"/>
  <c r="A52" i="3"/>
  <c r="AW52" i="3" s="1"/>
  <c r="A40" i="3"/>
  <c r="AW40" i="3" s="1"/>
  <c r="A43" i="3"/>
  <c r="AW43" i="3" s="1"/>
  <c r="A45" i="3"/>
  <c r="AW45" i="3" s="1"/>
  <c r="AW47" i="3"/>
  <c r="AW54" i="3"/>
  <c r="AW55" i="3"/>
  <c r="A56" i="3"/>
  <c r="AW56" i="3" s="1"/>
  <c r="A57" i="3"/>
  <c r="AW57" i="3" s="1"/>
  <c r="AW59" i="3"/>
  <c r="AW65" i="3"/>
  <c r="A66" i="3"/>
  <c r="AW66" i="3" s="1"/>
  <c r="AW68" i="3"/>
  <c r="AW69" i="3"/>
  <c r="A71" i="3"/>
  <c r="AW71" i="3" s="1"/>
  <c r="A72" i="3"/>
  <c r="AW72" i="3" s="1"/>
  <c r="A73" i="3"/>
  <c r="AW73" i="3" s="1"/>
  <c r="A75" i="3"/>
  <c r="AW75" i="3" s="1"/>
  <c r="A76" i="3"/>
  <c r="AW76" i="3" s="1"/>
  <c r="A77" i="3"/>
  <c r="AW77" i="3" s="1"/>
  <c r="A78" i="3"/>
  <c r="AW78" i="3" s="1"/>
  <c r="AW83" i="3"/>
  <c r="A85" i="3"/>
  <c r="AW85" i="3" s="1"/>
  <c r="AW86" i="3"/>
  <c r="A87" i="3"/>
  <c r="AW87" i="3" s="1"/>
  <c r="A88" i="3"/>
  <c r="AW88" i="3" s="1"/>
  <c r="A89" i="3"/>
  <c r="AW89" i="3" s="1"/>
  <c r="A90" i="3"/>
  <c r="AW90" i="3" s="1"/>
  <c r="AW91" i="3"/>
  <c r="AW92" i="3"/>
  <c r="AW93" i="3"/>
  <c r="A94" i="3"/>
  <c r="AW94" i="3" s="1"/>
  <c r="A95" i="3"/>
  <c r="AW95" i="3" s="1"/>
  <c r="AW96" i="3"/>
  <c r="AW98" i="3"/>
  <c r="AW99" i="3"/>
  <c r="AW101" i="3"/>
  <c r="A102" i="3"/>
  <c r="AW102" i="3" s="1"/>
  <c r="A103" i="3"/>
  <c r="AW103" i="3" s="1"/>
  <c r="A104" i="3"/>
  <c r="AW104" i="3" s="1"/>
  <c r="A105" i="3"/>
  <c r="AW105" i="3" s="1"/>
  <c r="AW106" i="3"/>
  <c r="AW107" i="3"/>
  <c r="AX16" i="3"/>
  <c r="AX17" i="3"/>
  <c r="AX18" i="3"/>
  <c r="AX19" i="3"/>
  <c r="AX20" i="3"/>
  <c r="AX21" i="3"/>
  <c r="AX22" i="3"/>
  <c r="AX23" i="3"/>
  <c r="AX24" i="3"/>
  <c r="AX25" i="3"/>
  <c r="AX26" i="3"/>
  <c r="U16" i="3"/>
  <c r="U17" i="3"/>
  <c r="W17" i="3" s="1"/>
  <c r="U18" i="3"/>
  <c r="U19" i="3"/>
  <c r="W19" i="3" s="1"/>
  <c r="U20" i="3"/>
  <c r="W20" i="3" s="1"/>
  <c r="U21" i="3"/>
  <c r="U22" i="3"/>
  <c r="W22" i="3" s="1"/>
  <c r="U23" i="3"/>
  <c r="U24" i="3"/>
  <c r="W24" i="3" s="1"/>
  <c r="AA24" i="3" s="1"/>
  <c r="U25" i="3"/>
  <c r="U26" i="3"/>
  <c r="Q20" i="3"/>
  <c r="AJ11" i="3"/>
  <c r="G13" i="3" s="1"/>
  <c r="AK12" i="3"/>
  <c r="AI17" i="3"/>
  <c r="AP12" i="3" s="1"/>
  <c r="Q14" i="3"/>
  <c r="AE14" i="3"/>
  <c r="AN63" i="3"/>
  <c r="AO63" i="3"/>
  <c r="Q15" i="3"/>
  <c r="AE15" i="3"/>
  <c r="AL57" i="3"/>
  <c r="AO57" i="3" s="1"/>
  <c r="Q16" i="3"/>
  <c r="T16" i="3"/>
  <c r="AE16" i="3"/>
  <c r="AF16" i="3"/>
  <c r="AL39" i="3"/>
  <c r="AL43" i="3"/>
  <c r="AO43" i="3" s="1"/>
  <c r="AL45" i="3"/>
  <c r="AO45" i="3" s="1"/>
  <c r="AL51" i="3"/>
  <c r="L17" i="3"/>
  <c r="T17" i="3"/>
  <c r="Y17" i="3"/>
  <c r="T18" i="3"/>
  <c r="G94" i="3"/>
  <c r="AH94" i="3"/>
  <c r="G95" i="3"/>
  <c r="AZ95" i="3" s="1"/>
  <c r="AH95" i="3"/>
  <c r="G96" i="3"/>
  <c r="AH97" i="3"/>
  <c r="AH87" i="3"/>
  <c r="AH89" i="3"/>
  <c r="AH90" i="3"/>
  <c r="G72" i="3"/>
  <c r="G73" i="3"/>
  <c r="AH73" i="3" s="1"/>
  <c r="G74" i="3"/>
  <c r="AZ74" i="3" s="1"/>
  <c r="G75" i="3"/>
  <c r="AH75" i="3" s="1"/>
  <c r="AZ76" i="3"/>
  <c r="AH76" i="3"/>
  <c r="AH78" i="3"/>
  <c r="AH79" i="3"/>
  <c r="AH80" i="3"/>
  <c r="G81" i="3"/>
  <c r="AH81" i="3"/>
  <c r="AL73" i="3"/>
  <c r="AL95" i="3"/>
  <c r="AL97" i="3"/>
  <c r="Y19" i="3"/>
  <c r="L19" i="3"/>
  <c r="T19" i="3"/>
  <c r="AF19" i="3"/>
  <c r="Y20" i="3"/>
  <c r="R20" i="3"/>
  <c r="AP22" i="3" s="1"/>
  <c r="T20" i="3"/>
  <c r="AE20" i="3"/>
  <c r="AF20" i="3"/>
  <c r="Y21" i="3"/>
  <c r="Q21" i="3"/>
  <c r="T21" i="3"/>
  <c r="T22" i="3"/>
  <c r="Y22" i="3"/>
  <c r="AF22" i="3"/>
  <c r="Y23" i="3"/>
  <c r="AE26" i="3"/>
  <c r="AE28" i="3"/>
  <c r="AE29" i="3"/>
  <c r="T23" i="3"/>
  <c r="T24" i="3"/>
  <c r="Y24" i="3"/>
  <c r="AL25" i="3"/>
  <c r="T25" i="3"/>
  <c r="Y25" i="3"/>
  <c r="AQ25" i="3"/>
  <c r="AL26" i="3"/>
  <c r="T26" i="3"/>
  <c r="AC26" i="3"/>
  <c r="AF26" i="3"/>
  <c r="R27" i="3"/>
  <c r="C23" i="4" s="1"/>
  <c r="V28" i="3"/>
  <c r="AC28" i="3"/>
  <c r="AF28" i="3"/>
  <c r="R29" i="3"/>
  <c r="R31" i="3" s="1"/>
  <c r="AC29" i="3"/>
  <c r="AF29" i="3"/>
  <c r="R30" i="3"/>
  <c r="G100" i="3"/>
  <c r="AH100" i="3" s="1"/>
  <c r="G101" i="3"/>
  <c r="G102" i="3"/>
  <c r="G103" i="3"/>
  <c r="AZ103" i="3" s="1"/>
  <c r="G104" i="3"/>
  <c r="AH104" i="3" s="1"/>
  <c r="G105" i="3"/>
  <c r="AH105" i="3" s="1"/>
  <c r="AL102" i="3"/>
  <c r="AX32" i="3"/>
  <c r="AY32" i="3"/>
  <c r="AX33" i="3"/>
  <c r="AY33" i="3"/>
  <c r="A34" i="3"/>
  <c r="BA37" i="3"/>
  <c r="B38" i="3"/>
  <c r="BA38" i="3"/>
  <c r="AX38" i="3"/>
  <c r="AZ38" i="3"/>
  <c r="B39" i="3"/>
  <c r="R39" i="3"/>
  <c r="BA39" i="3"/>
  <c r="AX39" i="3"/>
  <c r="AY39" i="3"/>
  <c r="AZ39" i="3"/>
  <c r="B40" i="3"/>
  <c r="R40" i="3"/>
  <c r="BA40" i="3"/>
  <c r="AX40" i="3"/>
  <c r="AZ40" i="3"/>
  <c r="B41" i="3"/>
  <c r="R41" i="3"/>
  <c r="BA41" i="3"/>
  <c r="AZ41" i="3"/>
  <c r="B42" i="3"/>
  <c r="R42" i="3"/>
  <c r="BA42" i="3"/>
  <c r="AX42" i="3"/>
  <c r="AY42" i="3"/>
  <c r="AZ42" i="3"/>
  <c r="B43" i="3"/>
  <c r="R43" i="3"/>
  <c r="BA43" i="3"/>
  <c r="AX43" i="3"/>
  <c r="AZ43" i="3"/>
  <c r="B44" i="3"/>
  <c r="BA44" i="3"/>
  <c r="AZ44" i="3"/>
  <c r="B45" i="3"/>
  <c r="R45" i="3"/>
  <c r="BA45" i="3"/>
  <c r="AX45" i="3"/>
  <c r="AZ45" i="3"/>
  <c r="O46" i="3"/>
  <c r="BA46" i="3"/>
  <c r="AZ46" i="3"/>
  <c r="BA47" i="3"/>
  <c r="V47" i="3" s="1"/>
  <c r="B48" i="3"/>
  <c r="BA48" i="3"/>
  <c r="AX48" i="3"/>
  <c r="AY48" i="3"/>
  <c r="AZ48" i="3"/>
  <c r="B49" i="3"/>
  <c r="R49" i="3"/>
  <c r="BA49" i="3"/>
  <c r="AX49" i="3"/>
  <c r="AZ49" i="3"/>
  <c r="B50" i="3"/>
  <c r="BA50" i="3"/>
  <c r="AX50" i="3"/>
  <c r="AY50" i="3"/>
  <c r="AZ50" i="3"/>
  <c r="B51" i="3"/>
  <c r="R51" i="3"/>
  <c r="BA51" i="3"/>
  <c r="AX51" i="3"/>
  <c r="V51" i="3" s="1"/>
  <c r="AY51" i="3"/>
  <c r="AZ51" i="3"/>
  <c r="B52" i="3"/>
  <c r="R52" i="3"/>
  <c r="BA52" i="3"/>
  <c r="AX52" i="3"/>
  <c r="AY52" i="3"/>
  <c r="AZ52" i="3"/>
  <c r="O53" i="3"/>
  <c r="R53" i="3"/>
  <c r="BA53" i="3"/>
  <c r="AX53" i="3"/>
  <c r="AZ53" i="3"/>
  <c r="AY54" i="3"/>
  <c r="BA54" i="3"/>
  <c r="AX54" i="3"/>
  <c r="AZ54" i="3"/>
  <c r="AY55" i="3"/>
  <c r="BA55" i="3"/>
  <c r="AX55" i="3"/>
  <c r="AZ55" i="3"/>
  <c r="B56" i="3"/>
  <c r="R56" i="3"/>
  <c r="BA56" i="3"/>
  <c r="AX56" i="3"/>
  <c r="AZ56" i="3"/>
  <c r="B57" i="3"/>
  <c r="R57" i="3"/>
  <c r="AY57" i="3"/>
  <c r="BA57" i="3"/>
  <c r="AX57" i="3"/>
  <c r="AZ57" i="3"/>
  <c r="O58" i="3"/>
  <c r="R58" i="3"/>
  <c r="BA58" i="3"/>
  <c r="AZ58" i="3"/>
  <c r="AX59" i="3"/>
  <c r="AY59" i="3"/>
  <c r="BA59" i="3"/>
  <c r="AZ59" i="3"/>
  <c r="B60" i="3"/>
  <c r="AZ60" i="3"/>
  <c r="B61" i="3"/>
  <c r="BA61" i="3"/>
  <c r="AZ61" i="3"/>
  <c r="B62" i="3"/>
  <c r="BA62" i="3"/>
  <c r="AX62" i="3"/>
  <c r="B63" i="3"/>
  <c r="AX63" i="3"/>
  <c r="AZ63" i="3"/>
  <c r="O64" i="3"/>
  <c r="BA64" i="3"/>
  <c r="AX65" i="3"/>
  <c r="BA65" i="3"/>
  <c r="AY65" i="3"/>
  <c r="AZ65" i="3"/>
  <c r="B66" i="3"/>
  <c r="R66" i="3"/>
  <c r="BA66" i="3"/>
  <c r="AX66" i="3"/>
  <c r="AZ66" i="3"/>
  <c r="O67" i="3"/>
  <c r="R67" i="3"/>
  <c r="BA67" i="3"/>
  <c r="AZ67" i="3"/>
  <c r="BA68" i="3"/>
  <c r="AX68" i="3"/>
  <c r="AY68" i="3"/>
  <c r="AZ68" i="3"/>
  <c r="BA69" i="3"/>
  <c r="AX69" i="3"/>
  <c r="AY69" i="3"/>
  <c r="AZ69" i="3"/>
  <c r="B70" i="3"/>
  <c r="R70" i="3"/>
  <c r="BA70" i="3"/>
  <c r="AX70" i="3"/>
  <c r="AZ70" i="3"/>
  <c r="B71" i="3"/>
  <c r="R71" i="3"/>
  <c r="BA71" i="3"/>
  <c r="AX71" i="3"/>
  <c r="AZ71" i="3"/>
  <c r="B72" i="3"/>
  <c r="R72" i="3"/>
  <c r="BA72" i="3"/>
  <c r="AX72" i="3"/>
  <c r="AY72" i="3"/>
  <c r="AZ72" i="3"/>
  <c r="AA72" i="3"/>
  <c r="B73" i="3"/>
  <c r="BA73" i="3"/>
  <c r="AX73" i="3"/>
  <c r="AY73" i="3"/>
  <c r="AA73" i="3"/>
  <c r="B74" i="3"/>
  <c r="R74" i="3"/>
  <c r="BA74" i="3"/>
  <c r="AY74" i="3"/>
  <c r="Z74" i="3"/>
  <c r="AA74" i="3"/>
  <c r="B75" i="3"/>
  <c r="R75" i="3"/>
  <c r="BA75" i="3"/>
  <c r="V75" i="3" s="1"/>
  <c r="AX75" i="3"/>
  <c r="AY75" i="3"/>
  <c r="AZ75" i="3"/>
  <c r="B76" i="3"/>
  <c r="R76" i="3"/>
  <c r="BA76" i="3"/>
  <c r="AX76" i="3"/>
  <c r="V76" i="3" s="1"/>
  <c r="R77" i="3"/>
  <c r="BA77" i="3"/>
  <c r="AX77" i="3"/>
  <c r="AY77" i="3"/>
  <c r="AZ77" i="3"/>
  <c r="B78" i="3"/>
  <c r="R78" i="3"/>
  <c r="BA78" i="3"/>
  <c r="AX78" i="3"/>
  <c r="AY78" i="3"/>
  <c r="AZ78" i="3"/>
  <c r="B79" i="3"/>
  <c r="R79" i="3"/>
  <c r="BA79" i="3"/>
  <c r="AX79" i="3"/>
  <c r="AY79" i="3"/>
  <c r="AZ79" i="3"/>
  <c r="B80" i="3"/>
  <c r="AX80" i="3"/>
  <c r="AZ80" i="3"/>
  <c r="B81" i="3"/>
  <c r="R81" i="3"/>
  <c r="AZ81" i="3"/>
  <c r="O82" i="3"/>
  <c r="BA82" i="3"/>
  <c r="BA83" i="3"/>
  <c r="AX83" i="3"/>
  <c r="AY83" i="3"/>
  <c r="AZ83" i="3"/>
  <c r="B84" i="3"/>
  <c r="R84" i="3"/>
  <c r="BA84" i="3"/>
  <c r="AX84" i="3"/>
  <c r="AZ84" i="3"/>
  <c r="AA84" i="3"/>
  <c r="B85" i="3"/>
  <c r="R85" i="3"/>
  <c r="BA85" i="3"/>
  <c r="AX85" i="3"/>
  <c r="AZ85" i="3"/>
  <c r="AA85" i="3"/>
  <c r="B86" i="3"/>
  <c r="R86" i="3"/>
  <c r="BA86" i="3"/>
  <c r="AX86" i="3"/>
  <c r="AY86" i="3"/>
  <c r="Z86" i="3"/>
  <c r="AA86" i="3"/>
  <c r="B87" i="3"/>
  <c r="BA87" i="3"/>
  <c r="AX87" i="3"/>
  <c r="AZ87" i="3"/>
  <c r="AA87" i="3"/>
  <c r="B88" i="3"/>
  <c r="R88" i="3"/>
  <c r="BA88" i="3"/>
  <c r="AX88" i="3"/>
  <c r="AA88" i="3"/>
  <c r="B89" i="3"/>
  <c r="BA89" i="3"/>
  <c r="AX89" i="3"/>
  <c r="AY89" i="3"/>
  <c r="AZ89" i="3"/>
  <c r="Z89" i="3"/>
  <c r="AA89" i="3"/>
  <c r="O90" i="3"/>
  <c r="R90" i="3"/>
  <c r="BA90" i="3"/>
  <c r="AX90" i="3"/>
  <c r="AZ90" i="3"/>
  <c r="B91" i="3"/>
  <c r="BA91" i="3"/>
  <c r="AX91" i="3"/>
  <c r="AY91" i="3"/>
  <c r="AZ91" i="3"/>
  <c r="BA92" i="3"/>
  <c r="AX92" i="3"/>
  <c r="V92" i="3" s="1"/>
  <c r="AY92" i="3"/>
  <c r="AZ92" i="3"/>
  <c r="BA93" i="3"/>
  <c r="AX93" i="3"/>
  <c r="AY93" i="3"/>
  <c r="AZ93" i="3"/>
  <c r="B94" i="3"/>
  <c r="R94" i="3"/>
  <c r="BA94" i="3"/>
  <c r="AX94" i="3"/>
  <c r="AY94" i="3"/>
  <c r="AZ94" i="3"/>
  <c r="B95" i="3"/>
  <c r="R95" i="3"/>
  <c r="BA95" i="3"/>
  <c r="AX95" i="3"/>
  <c r="AY95" i="3"/>
  <c r="B96" i="3"/>
  <c r="R96" i="3"/>
  <c r="BA96" i="3"/>
  <c r="AX96" i="3"/>
  <c r="O97" i="3"/>
  <c r="BA97" i="3"/>
  <c r="AZ97" i="3"/>
  <c r="BA98" i="3"/>
  <c r="AX98" i="3"/>
  <c r="AY98" i="3"/>
  <c r="AZ98" i="3"/>
  <c r="BA99" i="3"/>
  <c r="AX99" i="3"/>
  <c r="AY99" i="3"/>
  <c r="AZ99" i="3"/>
  <c r="B100" i="3"/>
  <c r="R100" i="3"/>
  <c r="BA100" i="3"/>
  <c r="AX100" i="3"/>
  <c r="B101" i="3"/>
  <c r="R101" i="3"/>
  <c r="BA101" i="3"/>
  <c r="AX101" i="3"/>
  <c r="B102" i="3"/>
  <c r="R102" i="3"/>
  <c r="BA102" i="3"/>
  <c r="AX102" i="3"/>
  <c r="AY102" i="3"/>
  <c r="AZ102" i="3"/>
  <c r="AM102" i="3"/>
  <c r="B103" i="3"/>
  <c r="R103" i="3"/>
  <c r="BA103" i="3"/>
  <c r="AX103" i="3"/>
  <c r="B104" i="3"/>
  <c r="R104" i="3"/>
  <c r="BA104" i="3"/>
  <c r="AX104" i="3"/>
  <c r="AY104" i="3"/>
  <c r="B105" i="3"/>
  <c r="R105" i="3"/>
  <c r="BA105" i="3"/>
  <c r="AX105" i="3"/>
  <c r="AY105" i="3"/>
  <c r="BA106" i="3"/>
  <c r="AX106" i="3"/>
  <c r="AY106" i="3"/>
  <c r="AZ106" i="3"/>
  <c r="BA107" i="3"/>
  <c r="AX107" i="3"/>
  <c r="AZ107" i="3"/>
  <c r="U108" i="3"/>
  <c r="BA108" i="3"/>
  <c r="BA109" i="3"/>
  <c r="S117" i="3"/>
  <c r="S118" i="3"/>
  <c r="S119" i="3"/>
  <c r="S120" i="3"/>
  <c r="S121" i="3"/>
  <c r="S122" i="3"/>
  <c r="S123" i="3"/>
  <c r="S124" i="3"/>
  <c r="S125" i="3"/>
  <c r="S126" i="3"/>
  <c r="S127" i="3"/>
  <c r="N9" i="4"/>
  <c r="F16" i="4"/>
  <c r="AA18" i="4"/>
  <c r="AA20" i="4"/>
  <c r="AA22" i="4"/>
  <c r="AA24" i="4"/>
  <c r="C26" i="4"/>
  <c r="AA26" i="4"/>
  <c r="C27" i="4"/>
  <c r="C28" i="4"/>
  <c r="AA28" i="4"/>
  <c r="C29" i="4"/>
  <c r="C30" i="4"/>
  <c r="C31" i="4"/>
  <c r="C32" i="4"/>
  <c r="C33" i="4"/>
  <c r="A34" i="4"/>
  <c r="C34" i="4"/>
  <c r="C37" i="4"/>
  <c r="C38" i="4"/>
  <c r="C39" i="4"/>
  <c r="C40" i="4"/>
  <c r="C41" i="4"/>
  <c r="A42" i="4"/>
  <c r="C42" i="4"/>
  <c r="C45" i="4"/>
  <c r="C46" i="4"/>
  <c r="C47" i="4"/>
  <c r="C48" i="4"/>
  <c r="C49" i="4"/>
  <c r="C52" i="4"/>
  <c r="C53" i="4"/>
  <c r="C54" i="4"/>
  <c r="C55" i="4"/>
  <c r="C56" i="4"/>
  <c r="C59" i="4"/>
  <c r="C62" i="4"/>
  <c r="C63" i="4"/>
  <c r="C64" i="4"/>
  <c r="C65" i="4"/>
  <c r="C66" i="4"/>
  <c r="C67" i="4"/>
  <c r="C68" i="4"/>
  <c r="C70" i="4"/>
  <c r="C71" i="4"/>
  <c r="C72" i="4"/>
  <c r="C73" i="4"/>
  <c r="C74" i="4"/>
  <c r="C75" i="4"/>
  <c r="C76" i="4"/>
  <c r="A85" i="4"/>
  <c r="AH82" i="3"/>
  <c r="AZ82" i="3"/>
  <c r="C58" i="4"/>
  <c r="AZ62" i="3"/>
  <c r="AH62" i="3"/>
  <c r="AN62" i="3" s="1"/>
  <c r="AH86" i="3"/>
  <c r="AZ86" i="3"/>
  <c r="AH88" i="3"/>
  <c r="AZ88" i="3"/>
  <c r="A81" i="3"/>
  <c r="AW81" i="3" s="1"/>
  <c r="I205" i="1"/>
  <c r="AL82" i="3"/>
  <c r="AH74" i="3"/>
  <c r="R61" i="3"/>
  <c r="S58" i="3"/>
  <c r="AI58" i="3" s="1"/>
  <c r="U58" i="3" s="1"/>
  <c r="A58" i="3"/>
  <c r="AW58" i="3" s="1"/>
  <c r="AY58" i="3"/>
  <c r="A97" i="3"/>
  <c r="AW97" i="3" s="1"/>
  <c r="S82" i="3"/>
  <c r="S53" i="3"/>
  <c r="AI53" i="3" s="1"/>
  <c r="U53" i="3" s="1"/>
  <c r="N42" i="4" s="1"/>
  <c r="S64" i="3"/>
  <c r="AI64" i="3" s="1"/>
  <c r="U64" i="3" s="1"/>
  <c r="BH84" i="1"/>
  <c r="BH82" i="1"/>
  <c r="BF76" i="1"/>
  <c r="BH76" i="1" s="1"/>
  <c r="AX80" i="1"/>
  <c r="AX79" i="1"/>
  <c r="AX88" i="1"/>
  <c r="AX92" i="1"/>
  <c r="AX78" i="1"/>
  <c r="AX85" i="1"/>
  <c r="AX90" i="1"/>
  <c r="AX94" i="1"/>
  <c r="X90" i="1"/>
  <c r="X92" i="1"/>
  <c r="U33" i="1"/>
  <c r="Y33" i="1"/>
  <c r="W33" i="1"/>
  <c r="AA33" i="1"/>
  <c r="BH31" i="1"/>
  <c r="X33" i="1"/>
  <c r="BF12" i="1"/>
  <c r="BH12" i="1" s="1"/>
  <c r="BH92" i="1"/>
  <c r="BH91" i="1"/>
  <c r="AX84" i="1"/>
  <c r="AX82" i="1"/>
  <c r="X81" i="1"/>
  <c r="N101" i="1"/>
  <c r="Z59" i="1"/>
  <c r="X59" i="1"/>
  <c r="BH80" i="1"/>
  <c r="BF72" i="1"/>
  <c r="AL78" i="1"/>
  <c r="AL80" i="1"/>
  <c r="AL83" i="1"/>
  <c r="AL92" i="1"/>
  <c r="AL85" i="1"/>
  <c r="AL90" i="1"/>
  <c r="AL94" i="1"/>
  <c r="BF11" i="1"/>
  <c r="BH11" i="1" s="1"/>
  <c r="BH115" i="1"/>
  <c r="AX89" i="1"/>
  <c r="AL89" i="1"/>
  <c r="BH88" i="1"/>
  <c r="BH87" i="1"/>
  <c r="BF70" i="1"/>
  <c r="BH70" i="1" s="1"/>
  <c r="AZ78" i="1"/>
  <c r="AZ80" i="1"/>
  <c r="AZ85" i="1"/>
  <c r="AZ90" i="1"/>
  <c r="AZ83" i="1"/>
  <c r="AZ88" i="1"/>
  <c r="AZ92" i="1"/>
  <c r="AC79" i="1"/>
  <c r="AC81" i="1"/>
  <c r="AC87" i="1"/>
  <c r="AC91" i="1"/>
  <c r="AC78" i="1"/>
  <c r="AC80" i="1"/>
  <c r="AC84" i="1"/>
  <c r="AC89" i="1"/>
  <c r="AC93" i="1"/>
  <c r="BF73" i="1"/>
  <c r="BH73" i="1" s="1"/>
  <c r="BF69" i="1"/>
  <c r="BH69" i="1" s="1"/>
  <c r="AA49" i="1"/>
  <c r="AA50" i="1" s="1"/>
  <c r="Z50" i="1"/>
  <c r="AO84" i="1" s="1"/>
  <c r="AE81" i="1"/>
  <c r="AA37" i="1"/>
  <c r="AA38" i="1" s="1"/>
  <c r="O81" i="1"/>
  <c r="BF75" i="1"/>
  <c r="BH75" i="1" s="1"/>
  <c r="BF71" i="1"/>
  <c r="BH71" i="1" s="1"/>
  <c r="U63" i="1"/>
  <c r="Y63" i="1"/>
  <c r="W63" i="1"/>
  <c r="AA63" i="1"/>
  <c r="AS78" i="1"/>
  <c r="X41" i="1"/>
  <c r="Z39" i="1"/>
  <c r="Z48" i="1"/>
  <c r="Z53" i="1" s="1"/>
  <c r="Z36" i="1"/>
  <c r="Z41" i="1" s="1"/>
  <c r="V48" i="1"/>
  <c r="V53" i="1" s="1"/>
  <c r="V36" i="1"/>
  <c r="V41" i="1" s="1"/>
  <c r="BF20" i="1"/>
  <c r="BH20" i="1" s="1"/>
  <c r="W45" i="1"/>
  <c r="AA45" i="1"/>
  <c r="U45" i="1"/>
  <c r="Y45" i="1"/>
  <c r="T39" i="1"/>
  <c r="BH37" i="1"/>
  <c r="X48" i="1"/>
  <c r="BF16" i="1"/>
  <c r="BH16" i="1" s="1"/>
  <c r="BH13" i="1"/>
  <c r="BF7" i="1"/>
  <c r="BH7" i="1" s="1"/>
  <c r="BH5" i="1"/>
  <c r="BH18" i="1"/>
  <c r="BH17" i="1"/>
  <c r="BH9" i="1"/>
  <c r="BH8" i="1"/>
  <c r="AO62" i="3"/>
  <c r="AO79" i="1"/>
  <c r="AO82" i="1"/>
  <c r="AO93" i="1"/>
  <c r="AO94" i="1"/>
  <c r="AO78" i="1"/>
  <c r="AO90" i="1"/>
  <c r="J205" i="1"/>
  <c r="K205" i="1" s="1"/>
  <c r="L205" i="1" s="1"/>
  <c r="AL77" i="3"/>
  <c r="AO77" i="3" s="1"/>
  <c r="S77" i="3"/>
  <c r="AU77" i="3" s="1"/>
  <c r="AG19" i="3"/>
  <c r="AG21" i="3" s="1"/>
  <c r="AG23" i="3" s="1"/>
  <c r="AQ19" i="3" s="1"/>
  <c r="AE19" i="3"/>
  <c r="AE21" i="3" s="1"/>
  <c r="AF42" i="3" s="1"/>
  <c r="AY56" i="3"/>
  <c r="AL56" i="3"/>
  <c r="AO56" i="3" s="1"/>
  <c r="S56" i="3"/>
  <c r="AI56" i="3" s="1"/>
  <c r="U56" i="3" s="1"/>
  <c r="AG22" i="3"/>
  <c r="AS61" i="3"/>
  <c r="AY61" i="3" s="1"/>
  <c r="AE22" i="3"/>
  <c r="AJ17" i="3"/>
  <c r="AR12" i="3" s="1"/>
  <c r="AL72" i="3"/>
  <c r="S72" i="3"/>
  <c r="AU72" i="3" s="1"/>
  <c r="S61" i="3"/>
  <c r="AI61" i="3" s="1"/>
  <c r="U61" i="3" s="1"/>
  <c r="S62" i="3"/>
  <c r="AC63" i="3" s="1"/>
  <c r="AY85" i="3"/>
  <c r="AP60" i="3"/>
  <c r="S40" i="3"/>
  <c r="AU40" i="3" s="1"/>
  <c r="AY40" i="3"/>
  <c r="V40" i="3" s="1"/>
  <c r="AY70" i="3"/>
  <c r="S70" i="3"/>
  <c r="AL76" i="3"/>
  <c r="AO76" i="3" s="1"/>
  <c r="S76" i="3"/>
  <c r="AU76" i="3" s="1"/>
  <c r="AL70" i="3"/>
  <c r="AO70" i="3" s="1"/>
  <c r="W26" i="3"/>
  <c r="AA26" i="3" s="1"/>
  <c r="AL105" i="3"/>
  <c r="BF130" i="1"/>
  <c r="AZ96" i="3"/>
  <c r="AH96" i="3"/>
  <c r="AP96" i="3" s="1"/>
  <c r="Z62" i="1"/>
  <c r="BC93" i="1" s="1"/>
  <c r="AA61" i="1"/>
  <c r="AA62" i="1" s="1"/>
  <c r="AA31" i="1"/>
  <c r="AA32" i="1" s="1"/>
  <c r="Z32" i="1"/>
  <c r="T78" i="1" s="1"/>
  <c r="BF26" i="1"/>
  <c r="BH26" i="1" s="1"/>
  <c r="A67" i="3"/>
  <c r="AW67" i="3"/>
  <c r="BH121" i="1"/>
  <c r="AE93" i="1"/>
  <c r="AE91" i="1"/>
  <c r="Q91" i="1"/>
  <c r="AE88" i="1"/>
  <c r="Q88" i="1"/>
  <c r="AZ87" i="1"/>
  <c r="AS87" i="1"/>
  <c r="AS85" i="1"/>
  <c r="AJ84" i="1"/>
  <c r="AE83" i="1"/>
  <c r="AZ82" i="1"/>
  <c r="Q82" i="1"/>
  <c r="AJ79" i="1"/>
  <c r="AJ78" i="1"/>
  <c r="U57" i="1"/>
  <c r="AQ78" i="1"/>
  <c r="AQ79" i="1"/>
  <c r="X63" i="1"/>
  <c r="X64" i="1" s="1"/>
  <c r="T45" i="1"/>
  <c r="U30" i="1"/>
  <c r="U35" i="1" s="1"/>
  <c r="U36" i="1"/>
  <c r="U41" i="1" s="1"/>
  <c r="U48" i="1"/>
  <c r="U53" i="1" s="1"/>
  <c r="U54" i="1"/>
  <c r="U60" i="1"/>
  <c r="U65" i="1" s="1"/>
  <c r="BF15" i="1"/>
  <c r="BH15" i="1" s="1"/>
  <c r="BF6" i="1"/>
  <c r="BM2" i="1"/>
  <c r="BM111" i="1" s="1"/>
  <c r="Q37" i="1"/>
  <c r="Q38" i="1" s="1"/>
  <c r="Q43" i="1"/>
  <c r="Q44" i="1" s="1"/>
  <c r="Q49" i="1"/>
  <c r="Q50" i="1" s="1"/>
  <c r="A64" i="3"/>
  <c r="AW64" i="3" s="1"/>
  <c r="BH119" i="1"/>
  <c r="Q94" i="1"/>
  <c r="AJ90" i="1"/>
  <c r="AE89" i="1"/>
  <c r="AE87" i="1"/>
  <c r="Q87" i="1"/>
  <c r="AS83" i="1"/>
  <c r="AS81" i="1"/>
  <c r="AE80" i="1"/>
  <c r="AZ79" i="1"/>
  <c r="BH55" i="1"/>
  <c r="W57" i="1"/>
  <c r="Y57" i="1"/>
  <c r="V80" i="1"/>
  <c r="W16" i="3"/>
  <c r="AA16" i="3" s="1"/>
  <c r="AJ93" i="1"/>
  <c r="AJ92" i="1"/>
  <c r="AJ91" i="1"/>
  <c r="AE90" i="1"/>
  <c r="Q90" i="1"/>
  <c r="AJ85" i="1"/>
  <c r="Q84" i="1"/>
  <c r="Q80" i="1"/>
  <c r="AL82" i="1"/>
  <c r="AJ80" i="1"/>
  <c r="W47" i="1"/>
  <c r="AA39" i="1"/>
  <c r="Y39" i="1"/>
  <c r="T36" i="1"/>
  <c r="T41" i="1" s="1"/>
  <c r="BH25" i="1"/>
  <c r="W54" i="1"/>
  <c r="W59" i="1" s="1"/>
  <c r="BM175" i="1"/>
  <c r="T87" i="1"/>
  <c r="BC92" i="1"/>
  <c r="S105" i="3"/>
  <c r="Z26" i="3"/>
  <c r="AK26" i="3" s="1"/>
  <c r="AE23" i="3"/>
  <c r="AF23" i="3" s="1"/>
  <c r="AF40" i="3"/>
  <c r="W25" i="3"/>
  <c r="AA25" i="3"/>
  <c r="Z16" i="3"/>
  <c r="AK16" i="3" s="1"/>
  <c r="AF54" i="3"/>
  <c r="AF107" i="3"/>
  <c r="AL94" i="3"/>
  <c r="AL31" i="3"/>
  <c r="AQ24" i="3" s="1"/>
  <c r="AL75" i="3" s="1"/>
  <c r="AO75" i="3" s="1"/>
  <c r="Z23" i="3"/>
  <c r="AK23" i="3" s="1"/>
  <c r="AA17" i="3"/>
  <c r="W18" i="3"/>
  <c r="Z17" i="3"/>
  <c r="AK17" i="3" s="1"/>
  <c r="S114" i="3"/>
  <c r="BD88" i="1" l="1"/>
  <c r="BD81" i="1"/>
  <c r="BD84" i="1"/>
  <c r="AY82" i="1"/>
  <c r="AY78" i="1"/>
  <c r="BD83" i="1"/>
  <c r="W89" i="1"/>
  <c r="V64" i="1"/>
  <c r="AA84" i="1"/>
  <c r="AA89" i="1"/>
  <c r="AA80" i="1"/>
  <c r="Y40" i="1"/>
  <c r="AA88" i="1"/>
  <c r="Z40" i="1"/>
  <c r="AF45" i="3"/>
  <c r="AF21" i="3"/>
  <c r="BC82" i="1"/>
  <c r="AO117" i="1"/>
  <c r="AF83" i="3"/>
  <c r="AF61" i="3"/>
  <c r="AO28" i="3"/>
  <c r="BC90" i="1"/>
  <c r="BH22" i="1"/>
  <c r="U47" i="1"/>
  <c r="T46" i="1"/>
  <c r="AK117" i="1"/>
  <c r="AP85" i="1" s="1"/>
  <c r="S90" i="3"/>
  <c r="V107" i="3"/>
  <c r="AY44" i="3"/>
  <c r="AO51" i="3"/>
  <c r="AL38" i="3"/>
  <c r="AO38" i="3" s="1"/>
  <c r="A53" i="3"/>
  <c r="AW53" i="3" s="1"/>
  <c r="E207" i="1"/>
  <c r="D134" i="1"/>
  <c r="AS92" i="1"/>
  <c r="S43" i="3"/>
  <c r="W30" i="1"/>
  <c r="W35" i="1" s="1"/>
  <c r="AA47" i="1"/>
  <c r="AR22" i="3"/>
  <c r="AF91" i="3"/>
  <c r="V93" i="3"/>
  <c r="V83" i="3"/>
  <c r="AX44" i="3"/>
  <c r="V44" i="3" s="1"/>
  <c r="AL50" i="3"/>
  <c r="AO50" i="3" s="1"/>
  <c r="X35" i="1"/>
  <c r="AF39" i="3"/>
  <c r="AF106" i="3"/>
  <c r="AF52" i="3"/>
  <c r="AF41" i="3"/>
  <c r="AF53" i="3"/>
  <c r="AF113" i="3"/>
  <c r="AG117" i="1"/>
  <c r="V91" i="3"/>
  <c r="X197" i="1"/>
  <c r="AO94" i="3"/>
  <c r="AF98" i="3"/>
  <c r="AF50" i="3"/>
  <c r="AF49" i="3"/>
  <c r="AF48" i="3"/>
  <c r="W64" i="1"/>
  <c r="AL81" i="1"/>
  <c r="Q83" i="1"/>
  <c r="AB93" i="1"/>
  <c r="S48" i="3"/>
  <c r="AY93" i="1"/>
  <c r="AR78" i="1"/>
  <c r="AD78" i="1"/>
  <c r="T48" i="1"/>
  <c r="T53" i="1" s="1"/>
  <c r="AS79" i="1"/>
  <c r="AS84" i="1"/>
  <c r="AZ81" i="1"/>
  <c r="BH89" i="1"/>
  <c r="AC117" i="1"/>
  <c r="W80" i="1" s="1"/>
  <c r="R62" i="3"/>
  <c r="AZ104" i="3"/>
  <c r="AY84" i="3"/>
  <c r="AX74" i="3"/>
  <c r="R48" i="3"/>
  <c r="AY41" i="3"/>
  <c r="AL48" i="3"/>
  <c r="A61" i="3"/>
  <c r="AW61" i="3" s="1"/>
  <c r="A44" i="3"/>
  <c r="AW44" i="3" s="1"/>
  <c r="V104" i="1"/>
  <c r="AS94" i="1"/>
  <c r="Z57" i="1"/>
  <c r="Y51" i="1"/>
  <c r="AF68" i="3"/>
  <c r="AF112" i="3"/>
  <c r="AF55" i="3"/>
  <c r="AF51" i="3"/>
  <c r="V56" i="3"/>
  <c r="Y117" i="1"/>
  <c r="AZ100" i="3"/>
  <c r="V55" i="3"/>
  <c r="V45" i="3"/>
  <c r="R44" i="3"/>
  <c r="V42" i="3"/>
  <c r="AX41" i="3"/>
  <c r="V41" i="3" s="1"/>
  <c r="AY38" i="3"/>
  <c r="AO97" i="3"/>
  <c r="AZ84" i="1"/>
  <c r="V33" i="1"/>
  <c r="V34" i="1" s="1"/>
  <c r="AI51" i="3"/>
  <c r="U51" i="3" s="1"/>
  <c r="N40" i="4" s="1"/>
  <c r="AL84" i="3"/>
  <c r="AO84" i="3" s="1"/>
  <c r="AL44" i="3"/>
  <c r="AO44" i="3" s="1"/>
  <c r="A41" i="3"/>
  <c r="AW41" i="3" s="1"/>
  <c r="AW109" i="3" s="1"/>
  <c r="H3" i="3" s="1"/>
  <c r="A50" i="3"/>
  <c r="AW50" i="3" s="1"/>
  <c r="P104" i="1"/>
  <c r="S38" i="3"/>
  <c r="AO13" i="3" s="1"/>
  <c r="S39" i="3" s="1"/>
  <c r="AF38" i="3"/>
  <c r="AF92" i="3"/>
  <c r="AF46" i="3"/>
  <c r="AF44" i="3"/>
  <c r="AF43" i="3"/>
  <c r="AQ28" i="3"/>
  <c r="BC89" i="1"/>
  <c r="E212" i="1"/>
  <c r="R63" i="3"/>
  <c r="AH103" i="3"/>
  <c r="R38" i="3"/>
  <c r="AL90" i="3"/>
  <c r="AO90" i="3" s="1"/>
  <c r="AL41" i="3"/>
  <c r="AO41" i="3" s="1"/>
  <c r="AY62" i="3"/>
  <c r="S101" i="1"/>
  <c r="V93" i="1"/>
  <c r="AA65" i="1"/>
  <c r="V60" i="1"/>
  <c r="V42" i="1"/>
  <c r="AF47" i="3"/>
  <c r="V61" i="3"/>
  <c r="R50" i="3"/>
  <c r="R46" i="3"/>
  <c r="V39" i="3"/>
  <c r="AO39" i="3"/>
  <c r="AS82" i="1"/>
  <c r="W36" i="1"/>
  <c r="W41" i="1" s="1"/>
  <c r="T93" i="1"/>
  <c r="Z34" i="1"/>
  <c r="BD92" i="1"/>
  <c r="BD82" i="1"/>
  <c r="AY83" i="1"/>
  <c r="BD78" i="1"/>
  <c r="BD87" i="1"/>
  <c r="AY88" i="1"/>
  <c r="BD93" i="1"/>
  <c r="BD91" i="1"/>
  <c r="AY94" i="1"/>
  <c r="AY87" i="1"/>
  <c r="AY91" i="1"/>
  <c r="AY80" i="1"/>
  <c r="AY79" i="1"/>
  <c r="T82" i="1"/>
  <c r="BD89" i="1"/>
  <c r="AY89" i="1"/>
  <c r="AY92" i="1"/>
  <c r="AD93" i="1"/>
  <c r="BD94" i="1"/>
  <c r="BD79" i="1"/>
  <c r="AO80" i="1"/>
  <c r="AO89" i="1"/>
  <c r="AO83" i="1"/>
  <c r="AO87" i="1"/>
  <c r="AO92" i="1"/>
  <c r="AO88" i="1"/>
  <c r="AI78" i="1"/>
  <c r="U89" i="1"/>
  <c r="U82" i="1"/>
  <c r="P82" i="1"/>
  <c r="V64" i="3"/>
  <c r="AH72" i="3"/>
  <c r="C61" i="4"/>
  <c r="S67" i="3"/>
  <c r="AU67" i="3" s="1"/>
  <c r="AL67" i="3"/>
  <c r="AO67" i="3" s="1"/>
  <c r="BH85" i="1"/>
  <c r="AI85" i="1"/>
  <c r="AR85" i="1"/>
  <c r="U51" i="1"/>
  <c r="Z51" i="1"/>
  <c r="AA51" i="1"/>
  <c r="V51" i="1"/>
  <c r="U39" i="1"/>
  <c r="T40" i="1" s="1"/>
  <c r="V39" i="1"/>
  <c r="U40" i="1" s="1"/>
  <c r="X79" i="1"/>
  <c r="X78" i="1"/>
  <c r="O87" i="1"/>
  <c r="O79" i="1"/>
  <c r="O83" i="1"/>
  <c r="O88" i="1"/>
  <c r="O94" i="1"/>
  <c r="T89" i="1"/>
  <c r="BD80" i="1"/>
  <c r="BD85" i="1"/>
  <c r="AI83" i="1"/>
  <c r="AY84" i="1"/>
  <c r="AY85" i="1"/>
  <c r="AP87" i="1"/>
  <c r="AK92" i="1"/>
  <c r="AK88" i="1"/>
  <c r="AP82" i="1"/>
  <c r="AK94" i="1"/>
  <c r="AP89" i="1"/>
  <c r="V58" i="3"/>
  <c r="V106" i="3"/>
  <c r="V86" i="3"/>
  <c r="V74" i="3"/>
  <c r="A80" i="3"/>
  <c r="AW80" i="3" s="1"/>
  <c r="R80" i="3"/>
  <c r="V62" i="3"/>
  <c r="AD87" i="1"/>
  <c r="AI91" i="1"/>
  <c r="AI87" i="1"/>
  <c r="AD79" i="1"/>
  <c r="AD82" i="1"/>
  <c r="AI93" i="1"/>
  <c r="AI80" i="1"/>
  <c r="AD83" i="1"/>
  <c r="AD89" i="1"/>
  <c r="AD84" i="1"/>
  <c r="AD92" i="1"/>
  <c r="AD80" i="1"/>
  <c r="AD94" i="1"/>
  <c r="AI88" i="1"/>
  <c r="AI84" i="1"/>
  <c r="AD88" i="1"/>
  <c r="AI89" i="1"/>
  <c r="AI79" i="1"/>
  <c r="BN151" i="1"/>
  <c r="BN178" i="1" s="1"/>
  <c r="BM178" i="1"/>
  <c r="AE79" i="1"/>
  <c r="AE94" i="1"/>
  <c r="AE84" i="1"/>
  <c r="AE78" i="1"/>
  <c r="Y54" i="1"/>
  <c r="Y59" i="1" s="1"/>
  <c r="Y60" i="1"/>
  <c r="Y65" i="1" s="1"/>
  <c r="Y30" i="1"/>
  <c r="Y35" i="1" s="1"/>
  <c r="Y48" i="1"/>
  <c r="Y53" i="1" s="1"/>
  <c r="BG98" i="1"/>
  <c r="AO22" i="3"/>
  <c r="Q24" i="3"/>
  <c r="AX82" i="3"/>
  <c r="A82" i="3"/>
  <c r="AW82" i="3" s="1"/>
  <c r="R82" i="3"/>
  <c r="AY82" i="3"/>
  <c r="AL64" i="3"/>
  <c r="AO64" i="3" s="1"/>
  <c r="R64" i="3"/>
  <c r="AP61" i="3"/>
  <c r="AN61" i="3"/>
  <c r="A60" i="3"/>
  <c r="AW60" i="3" s="1"/>
  <c r="AX60" i="3"/>
  <c r="R97" i="3"/>
  <c r="AX97" i="3"/>
  <c r="S97" i="3"/>
  <c r="AU97" i="3" s="1"/>
  <c r="C227" i="1"/>
  <c r="P129" i="1"/>
  <c r="BH90" i="1"/>
  <c r="AD90" i="1"/>
  <c r="AY90" i="1"/>
  <c r="AI90" i="1"/>
  <c r="BD90" i="1"/>
  <c r="BH81" i="1"/>
  <c r="AI81" i="1"/>
  <c r="AY81" i="1"/>
  <c r="W81" i="1"/>
  <c r="BH72" i="1"/>
  <c r="E211" i="1"/>
  <c r="AB101" i="1"/>
  <c r="Y104" i="1"/>
  <c r="Y101" i="1"/>
  <c r="AA53" i="1"/>
  <c r="X51" i="1"/>
  <c r="X39" i="1"/>
  <c r="X40" i="1" s="1"/>
  <c r="T33" i="1"/>
  <c r="T34" i="1" s="1"/>
  <c r="T57" i="1"/>
  <c r="T58" i="1" s="1"/>
  <c r="T51" i="1"/>
  <c r="V70" i="3"/>
  <c r="AC48" i="3"/>
  <c r="V54" i="3"/>
  <c r="V53" i="3"/>
  <c r="AS90" i="1"/>
  <c r="V59" i="1"/>
  <c r="AS91" i="1"/>
  <c r="Z60" i="1"/>
  <c r="T60" i="1"/>
  <c r="T65" i="1" s="1"/>
  <c r="AS80" i="1"/>
  <c r="T54" i="1"/>
  <c r="T59" i="1" s="1"/>
  <c r="V35" i="1"/>
  <c r="Z42" i="1"/>
  <c r="Z47" i="1" s="1"/>
  <c r="S73" i="3"/>
  <c r="AI73" i="3" s="1"/>
  <c r="U73" i="3" s="1"/>
  <c r="N55" i="4" s="1"/>
  <c r="AO42" i="3"/>
  <c r="U59" i="1"/>
  <c r="V85" i="3"/>
  <c r="AO72" i="3"/>
  <c r="X53" i="1"/>
  <c r="V68" i="3"/>
  <c r="C57" i="4"/>
  <c r="V47" i="1"/>
  <c r="Z35" i="1"/>
  <c r="T35" i="1"/>
  <c r="V57" i="3"/>
  <c r="BC94" i="1"/>
  <c r="BC87" i="1"/>
  <c r="BC79" i="1"/>
  <c r="BC85" i="1"/>
  <c r="AE31" i="1"/>
  <c r="T83" i="1"/>
  <c r="T84" i="1"/>
  <c r="T85" i="1"/>
  <c r="BM108" i="1"/>
  <c r="AO105" i="3"/>
  <c r="U79" i="1"/>
  <c r="P83" i="1"/>
  <c r="AA83" i="1"/>
  <c r="AA87" i="1"/>
  <c r="AE37" i="1"/>
  <c r="P79" i="1"/>
  <c r="U84" i="1"/>
  <c r="U85" i="1"/>
  <c r="U94" i="1"/>
  <c r="V82" i="3"/>
  <c r="V84" i="3"/>
  <c r="BC81" i="1"/>
  <c r="BC91" i="1"/>
  <c r="BC84" i="1"/>
  <c r="BC83" i="1"/>
  <c r="BC78" i="1"/>
  <c r="T91" i="1"/>
  <c r="T94" i="1"/>
  <c r="T81" i="1"/>
  <c r="T79" i="1"/>
  <c r="BM3" i="1"/>
  <c r="BN2" i="1"/>
  <c r="P80" i="1"/>
  <c r="U78" i="1"/>
  <c r="AA90" i="1"/>
  <c r="AA78" i="1"/>
  <c r="AA93" i="1"/>
  <c r="AA81" i="1"/>
  <c r="P88" i="1"/>
  <c r="P85" i="1"/>
  <c r="U83" i="1"/>
  <c r="U81" i="1"/>
  <c r="P92" i="1"/>
  <c r="P87" i="1"/>
  <c r="AO82" i="3"/>
  <c r="V102" i="3"/>
  <c r="V77" i="3"/>
  <c r="V67" i="3"/>
  <c r="V65" i="3"/>
  <c r="V59" i="3"/>
  <c r="V38" i="3"/>
  <c r="AH102" i="3"/>
  <c r="AO102" i="3" s="1"/>
  <c r="V43" i="3"/>
  <c r="AZ105" i="3"/>
  <c r="V105" i="3" s="1"/>
  <c r="C77" i="4"/>
  <c r="BH128" i="1"/>
  <c r="BG130" i="1"/>
  <c r="BH61" i="1"/>
  <c r="Z63" i="1"/>
  <c r="Y64" i="1" s="1"/>
  <c r="AL84" i="1"/>
  <c r="AL91" i="1"/>
  <c r="AL79" i="1"/>
  <c r="AL93" i="1"/>
  <c r="AL87" i="1"/>
  <c r="AI105" i="3"/>
  <c r="U105" i="3" s="1"/>
  <c r="BC88" i="1"/>
  <c r="AE61" i="1"/>
  <c r="BC80" i="1"/>
  <c r="T80" i="1"/>
  <c r="T88" i="1"/>
  <c r="T90" i="1"/>
  <c r="T92" i="1"/>
  <c r="P78" i="1"/>
  <c r="AA85" i="1"/>
  <c r="AA91" i="1"/>
  <c r="P84" i="1"/>
  <c r="U92" i="1"/>
  <c r="P93" i="1"/>
  <c r="P91" i="1"/>
  <c r="U93" i="1"/>
  <c r="AP88" i="1"/>
  <c r="AP102" i="3"/>
  <c r="V98" i="3"/>
  <c r="V97" i="3"/>
  <c r="V69" i="3"/>
  <c r="AH101" i="3"/>
  <c r="AZ101" i="3"/>
  <c r="AX87" i="1"/>
  <c r="AX91" i="1"/>
  <c r="AX93" i="1"/>
  <c r="AX83" i="1"/>
  <c r="AX81" i="1"/>
  <c r="AJ94" i="1"/>
  <c r="AJ87" i="1"/>
  <c r="AJ89" i="1"/>
  <c r="Q78" i="1"/>
  <c r="Q85" i="1"/>
  <c r="BM96" i="1"/>
  <c r="T42" i="1"/>
  <c r="T47" i="1" s="1"/>
  <c r="S84" i="3"/>
  <c r="D70" i="4" s="1"/>
  <c r="AG30" i="3"/>
  <c r="AR19" i="3" s="1"/>
  <c r="W23" i="3"/>
  <c r="AA23" i="3" s="1"/>
  <c r="AO40" i="3"/>
  <c r="Z25" i="3"/>
  <c r="AK25" i="3" s="1"/>
  <c r="BH123" i="1"/>
  <c r="AA35" i="1"/>
  <c r="BF10" i="1"/>
  <c r="BH10" i="1" s="1"/>
  <c r="AI41" i="3"/>
  <c r="U41" i="3" s="1"/>
  <c r="N29" i="4" s="1"/>
  <c r="V95" i="3"/>
  <c r="V89" i="3"/>
  <c r="V52" i="3"/>
  <c r="AX46" i="3"/>
  <c r="V46" i="3" s="1"/>
  <c r="AE30" i="3"/>
  <c r="Q23" i="3" s="1"/>
  <c r="S195" i="1"/>
  <c r="P101" i="1"/>
  <c r="V91" i="1"/>
  <c r="AS89" i="1"/>
  <c r="Z65" i="1"/>
  <c r="W60" i="1"/>
  <c r="W48" i="1"/>
  <c r="W53" i="1" s="1"/>
  <c r="Y42" i="1"/>
  <c r="Y47" i="1" s="1"/>
  <c r="Y36" i="1"/>
  <c r="Y41" i="1" s="1"/>
  <c r="T63" i="1"/>
  <c r="T64" i="1" s="1"/>
  <c r="Q133" i="3"/>
  <c r="BJ218" i="3" s="1"/>
  <c r="Z24" i="3"/>
  <c r="V79" i="3"/>
  <c r="AJ30" i="3"/>
  <c r="V94" i="3"/>
  <c r="V27" i="3"/>
  <c r="H14" i="4" s="1"/>
  <c r="T29" i="4" s="1"/>
  <c r="Z20" i="3"/>
  <c r="AK20" i="3" s="1"/>
  <c r="V50" i="3"/>
  <c r="Z22" i="3"/>
  <c r="AK22" i="3" s="1"/>
  <c r="W21" i="3"/>
  <c r="AI50" i="3"/>
  <c r="U50" i="3" s="1"/>
  <c r="N39" i="4" s="1"/>
  <c r="AL104" i="3"/>
  <c r="AO104" i="3" s="1"/>
  <c r="AL86" i="3"/>
  <c r="AO86" i="3" s="1"/>
  <c r="AL74" i="3"/>
  <c r="AO74" i="3" s="1"/>
  <c r="AL85" i="3"/>
  <c r="AQ29" i="3" s="1"/>
  <c r="AL89" i="3"/>
  <c r="AO89" i="3" s="1"/>
  <c r="AL52" i="3"/>
  <c r="AO52" i="3" s="1"/>
  <c r="AB92" i="1"/>
  <c r="AE49" i="1"/>
  <c r="AO91" i="1"/>
  <c r="AO81" i="1"/>
  <c r="AO85" i="1"/>
  <c r="M205" i="1"/>
  <c r="M217" i="1" s="1"/>
  <c r="M219" i="1" s="1"/>
  <c r="BH6" i="1"/>
  <c r="AB81" i="1"/>
  <c r="W88" i="1"/>
  <c r="W34" i="1"/>
  <c r="X34" i="1"/>
  <c r="W92" i="1"/>
  <c r="W82" i="1"/>
  <c r="V99" i="3"/>
  <c r="X91" i="1"/>
  <c r="X87" i="1"/>
  <c r="X94" i="1"/>
  <c r="X84" i="1"/>
  <c r="X80" i="1"/>
  <c r="X83" i="1"/>
  <c r="X82" i="1"/>
  <c r="X89" i="1"/>
  <c r="X85" i="1"/>
  <c r="X88" i="1"/>
  <c r="X93" i="1"/>
  <c r="AB94" i="1"/>
  <c r="AB79" i="1"/>
  <c r="AA79" i="1"/>
  <c r="AA82" i="1"/>
  <c r="AA92" i="1"/>
  <c r="AA94" i="1"/>
  <c r="AK81" i="1"/>
  <c r="AK89" i="1"/>
  <c r="U34" i="1"/>
  <c r="V104" i="3"/>
  <c r="AX27" i="3"/>
  <c r="I3" i="3" s="1"/>
  <c r="AY27" i="3"/>
  <c r="AS60" i="3" s="1"/>
  <c r="AA55" i="1"/>
  <c r="AA56" i="1" s="1"/>
  <c r="Z56" i="1"/>
  <c r="AC85" i="1"/>
  <c r="AC83" i="1"/>
  <c r="AC88" i="1"/>
  <c r="AC92" i="1"/>
  <c r="AC94" i="1"/>
  <c r="AE82" i="1"/>
  <c r="AE85" i="1"/>
  <c r="BF19" i="1"/>
  <c r="AC43" i="3"/>
  <c r="AC90" i="1"/>
  <c r="AZ91" i="1"/>
  <c r="AZ89" i="1"/>
  <c r="AA59" i="1"/>
  <c r="AB104" i="1"/>
  <c r="BH43" i="1"/>
  <c r="X45" i="1"/>
  <c r="W46" i="1" s="1"/>
  <c r="Q81" i="1"/>
  <c r="Q92" i="1"/>
  <c r="Q79" i="1"/>
  <c r="Q93" i="1"/>
  <c r="Q55" i="1"/>
  <c r="Q56" i="1" s="1"/>
  <c r="Q31" i="1"/>
  <c r="Q32" i="1" s="1"/>
  <c r="E134" i="1"/>
  <c r="BM134" i="1" s="1"/>
  <c r="I192" i="1"/>
  <c r="L211" i="1" s="1"/>
  <c r="V78" i="3"/>
  <c r="AZ73" i="3"/>
  <c r="V73" i="3" s="1"/>
  <c r="V48" i="3"/>
  <c r="AO95" i="3"/>
  <c r="E218" i="1"/>
  <c r="V57" i="1"/>
  <c r="X57" i="1"/>
  <c r="AA57" i="1"/>
  <c r="AQ89" i="1"/>
  <c r="AQ90" i="1"/>
  <c r="AQ92" i="1"/>
  <c r="AQ94" i="1"/>
  <c r="AQ82" i="1"/>
  <c r="AQ84" i="1"/>
  <c r="AQ87" i="1"/>
  <c r="AQ81" i="1"/>
  <c r="AQ85" i="1"/>
  <c r="AQ93" i="1"/>
  <c r="V45" i="1"/>
  <c r="U46" i="1" s="1"/>
  <c r="V78" i="1"/>
  <c r="V81" i="1"/>
  <c r="V83" i="1"/>
  <c r="V85" i="1"/>
  <c r="V87" i="1"/>
  <c r="V88" i="1"/>
  <c r="V94" i="1"/>
  <c r="V84" i="1"/>
  <c r="V89" i="1"/>
  <c r="V92" i="1"/>
  <c r="V79" i="1"/>
  <c r="V90" i="1"/>
  <c r="P94" i="1"/>
  <c r="U80" i="1"/>
  <c r="P81" i="1"/>
  <c r="V72" i="3"/>
  <c r="AO73" i="3"/>
  <c r="AO58" i="3"/>
  <c r="AO59" i="3" s="1"/>
  <c r="AO53" i="3"/>
  <c r="AZ94" i="1"/>
  <c r="AE92" i="1"/>
  <c r="AJ82" i="1"/>
  <c r="AJ81" i="1"/>
  <c r="AJ83" i="1"/>
  <c r="AJ88" i="1"/>
  <c r="O80" i="1"/>
  <c r="O84" i="1"/>
  <c r="O89" i="1"/>
  <c r="O90" i="1"/>
  <c r="O93" i="1"/>
  <c r="O78" i="1"/>
  <c r="O82" i="1"/>
  <c r="O85" i="1"/>
  <c r="O91" i="1"/>
  <c r="W51" i="1"/>
  <c r="V52" i="1" s="1"/>
  <c r="W39" i="1"/>
  <c r="S42" i="3"/>
  <c r="AU42" i="3" s="1"/>
  <c r="A42" i="3"/>
  <c r="AW42" i="3" s="1"/>
  <c r="AL28" i="3"/>
  <c r="AR24" i="3" s="1"/>
  <c r="AM75" i="3" s="1"/>
  <c r="AP75" i="3" s="1"/>
  <c r="Z21" i="3"/>
  <c r="AK21" i="3" s="1"/>
  <c r="Z19" i="3"/>
  <c r="AA19" i="3" s="1"/>
  <c r="Z18" i="3"/>
  <c r="AK18" i="3" s="1"/>
  <c r="BH117" i="1"/>
  <c r="W65" i="1"/>
  <c r="X65" i="1"/>
  <c r="Z44" i="1"/>
  <c r="F215" i="1"/>
  <c r="E213" i="1"/>
  <c r="V65" i="1"/>
  <c r="R19" i="3"/>
  <c r="BG218" i="3"/>
  <c r="V90" i="3"/>
  <c r="L208" i="1"/>
  <c r="J214" i="1"/>
  <c r="E208" i="1"/>
  <c r="L210" i="1"/>
  <c r="E210" i="1"/>
  <c r="AU57" i="3"/>
  <c r="E209" i="1"/>
  <c r="K215" i="1"/>
  <c r="I215" i="1"/>
  <c r="AM62" i="3"/>
  <c r="AP62" i="3" s="1"/>
  <c r="AU44" i="3"/>
  <c r="AU51" i="3"/>
  <c r="AL27" i="3"/>
  <c r="AC40" i="3"/>
  <c r="AU53" i="3"/>
  <c r="K217" i="1"/>
  <c r="K219" i="1" s="1"/>
  <c r="E217" i="1"/>
  <c r="AR20" i="3"/>
  <c r="AI40" i="3"/>
  <c r="U40" i="3" s="1"/>
  <c r="N28" i="4" s="1"/>
  <c r="F217" i="1"/>
  <c r="F219" i="1" s="1"/>
  <c r="L217" i="1"/>
  <c r="L219" i="1" s="1"/>
  <c r="G215" i="1"/>
  <c r="F213" i="1"/>
  <c r="G217" i="1"/>
  <c r="G219" i="1" s="1"/>
  <c r="J217" i="1"/>
  <c r="J219" i="1" s="1"/>
  <c r="L215" i="1"/>
  <c r="L213" i="1"/>
  <c r="J213" i="1"/>
  <c r="AI72" i="3"/>
  <c r="U72" i="3" s="1"/>
  <c r="U59" i="3"/>
  <c r="N50" i="4" s="1"/>
  <c r="D77" i="4"/>
  <c r="AU41" i="3"/>
  <c r="AC53" i="3"/>
  <c r="I214" i="1"/>
  <c r="K214" i="1"/>
  <c r="AU64" i="3"/>
  <c r="AU105" i="3"/>
  <c r="AC64" i="3"/>
  <c r="G214" i="1"/>
  <c r="AU56" i="3"/>
  <c r="S59" i="3"/>
  <c r="AC59" i="3" s="1"/>
  <c r="AU58" i="3"/>
  <c r="D63" i="4"/>
  <c r="AI76" i="3"/>
  <c r="U76" i="3" s="1"/>
  <c r="I209" i="1"/>
  <c r="AA18" i="3"/>
  <c r="AM53" i="3"/>
  <c r="AP53" i="3" s="1"/>
  <c r="AM41" i="3"/>
  <c r="AM58" i="3"/>
  <c r="AP58" i="3" s="1"/>
  <c r="AM70" i="3"/>
  <c r="AP70" i="3" s="1"/>
  <c r="AM57" i="3"/>
  <c r="AP57" i="3" s="1"/>
  <c r="AM84" i="3"/>
  <c r="AP84" i="3" s="1"/>
  <c r="AM95" i="3"/>
  <c r="AP95" i="3" s="1"/>
  <c r="AM72" i="3"/>
  <c r="AM40" i="3"/>
  <c r="AM105" i="3"/>
  <c r="AP105" i="3" s="1"/>
  <c r="AM51" i="3"/>
  <c r="AP51" i="3" s="1"/>
  <c r="AM97" i="3"/>
  <c r="AP97" i="3" s="1"/>
  <c r="AM50" i="3"/>
  <c r="AP50" i="3" s="1"/>
  <c r="AM38" i="3"/>
  <c r="AM45" i="3"/>
  <c r="AM56" i="3"/>
  <c r="AP56" i="3" s="1"/>
  <c r="AM90" i="3"/>
  <c r="AP90" i="3" s="1"/>
  <c r="AM67" i="3"/>
  <c r="AP67" i="3" s="1"/>
  <c r="AM48" i="3"/>
  <c r="AP48" i="3" s="1"/>
  <c r="AM77" i="3"/>
  <c r="AP77" i="3" s="1"/>
  <c r="AM73" i="3"/>
  <c r="AP73" i="3" s="1"/>
  <c r="AM44" i="3"/>
  <c r="AM43" i="3"/>
  <c r="AM76" i="3"/>
  <c r="AP76" i="3" s="1"/>
  <c r="AM64" i="3"/>
  <c r="AM42" i="3"/>
  <c r="AM82" i="3"/>
  <c r="AP82" i="3" s="1"/>
  <c r="AK58" i="3"/>
  <c r="AN58" i="3" s="1"/>
  <c r="AK67" i="3"/>
  <c r="AN67" i="3" s="1"/>
  <c r="AK105" i="3"/>
  <c r="AN105" i="3" s="1"/>
  <c r="AK97" i="3"/>
  <c r="AN97" i="3" s="1"/>
  <c r="AK50" i="3"/>
  <c r="AK38" i="3"/>
  <c r="AN38" i="3" s="1"/>
  <c r="AK84" i="3"/>
  <c r="AN84" i="3" s="1"/>
  <c r="AK77" i="3"/>
  <c r="AN77" i="3" s="1"/>
  <c r="AK57" i="3"/>
  <c r="AN57" i="3" s="1"/>
  <c r="AK43" i="3"/>
  <c r="AK82" i="3"/>
  <c r="AN82" i="3" s="1"/>
  <c r="AK45" i="3"/>
  <c r="AK44" i="3"/>
  <c r="AN44" i="3" s="1"/>
  <c r="AK41" i="3"/>
  <c r="AK48" i="3"/>
  <c r="AK56" i="3"/>
  <c r="AN56" i="3" s="1"/>
  <c r="AK76" i="3"/>
  <c r="AN76" i="3" s="1"/>
  <c r="AK40" i="3"/>
  <c r="AN40" i="3" s="1"/>
  <c r="AK90" i="3"/>
  <c r="AN90" i="3" s="1"/>
  <c r="AK64" i="3"/>
  <c r="AN64" i="3" s="1"/>
  <c r="AK72" i="3"/>
  <c r="AK95" i="3"/>
  <c r="AN95" i="3" s="1"/>
  <c r="AK53" i="3"/>
  <c r="AN53" i="3" s="1"/>
  <c r="AK73" i="3"/>
  <c r="AN73" i="3" s="1"/>
  <c r="AK51" i="3"/>
  <c r="AK42" i="3"/>
  <c r="AN42" i="3" s="1"/>
  <c r="AK70" i="3"/>
  <c r="AN70" i="3" s="1"/>
  <c r="AC45" i="3"/>
  <c r="AC51" i="3"/>
  <c r="AC50" i="3"/>
  <c r="AC41" i="3"/>
  <c r="BM106" i="1"/>
  <c r="AU38" i="3"/>
  <c r="AU62" i="3"/>
  <c r="AU61" i="3"/>
  <c r="AC62" i="3"/>
  <c r="AL59" i="3"/>
  <c r="AI45" i="3"/>
  <c r="U45" i="3" s="1"/>
  <c r="N33" i="4" s="1"/>
  <c r="AI95" i="3"/>
  <c r="U95" i="3" s="1"/>
  <c r="N56" i="4" s="1"/>
  <c r="AC61" i="3"/>
  <c r="AI62" i="3"/>
  <c r="U62" i="3" s="1"/>
  <c r="AQ20" i="3"/>
  <c r="D64" i="4"/>
  <c r="AU45" i="3"/>
  <c r="AC44" i="3"/>
  <c r="AU43" i="3"/>
  <c r="AI43" i="3"/>
  <c r="U43" i="3" s="1"/>
  <c r="N31" i="4" s="1"/>
  <c r="AC38" i="3"/>
  <c r="K4" i="3"/>
  <c r="AU90" i="3"/>
  <c r="AI90" i="3"/>
  <c r="U90" i="3" s="1"/>
  <c r="N59" i="4" s="1"/>
  <c r="AI82" i="3"/>
  <c r="U82" i="3" s="1"/>
  <c r="AU82" i="3"/>
  <c r="F138" i="3"/>
  <c r="AP13" i="3"/>
  <c r="AK39" i="3" s="1"/>
  <c r="AN39" i="3" s="1"/>
  <c r="AO48" i="3"/>
  <c r="AI77" i="3"/>
  <c r="U77" i="3" s="1"/>
  <c r="AL61" i="3"/>
  <c r="AU70" i="3"/>
  <c r="AI70" i="3"/>
  <c r="G209" i="1"/>
  <c r="L209" i="1"/>
  <c r="F209" i="1"/>
  <c r="AU48" i="3"/>
  <c r="AI48" i="3"/>
  <c r="AP79" i="1" l="1"/>
  <c r="AB84" i="1"/>
  <c r="T195" i="1"/>
  <c r="AK84" i="1"/>
  <c r="U90" i="1"/>
  <c r="U91" i="1"/>
  <c r="U88" i="1"/>
  <c r="P90" i="1"/>
  <c r="P89" i="1"/>
  <c r="U87" i="1"/>
  <c r="Y52" i="1"/>
  <c r="AI38" i="3"/>
  <c r="AN72" i="3"/>
  <c r="AP72" i="3"/>
  <c r="M209" i="1"/>
  <c r="AF30" i="3"/>
  <c r="AG113" i="3" s="1"/>
  <c r="M213" i="1"/>
  <c r="Z58" i="1"/>
  <c r="BF113" i="1"/>
  <c r="AP90" i="1"/>
  <c r="W83" i="1"/>
  <c r="AB91" i="1"/>
  <c r="AP93" i="1"/>
  <c r="AD81" i="1"/>
  <c r="AI92" i="1"/>
  <c r="AD91" i="1"/>
  <c r="AD85" i="1"/>
  <c r="AI82" i="1"/>
  <c r="AI94" i="1"/>
  <c r="AA22" i="3"/>
  <c r="BH130" i="1"/>
  <c r="AP94" i="1"/>
  <c r="AP91" i="1"/>
  <c r="AP83" i="1"/>
  <c r="AK91" i="1"/>
  <c r="AP84" i="1"/>
  <c r="AP81" i="1"/>
  <c r="AK90" i="1"/>
  <c r="AK79" i="1"/>
  <c r="AP80" i="1"/>
  <c r="AK83" i="1"/>
  <c r="AP92" i="1"/>
  <c r="AK87" i="1"/>
  <c r="AW83" i="1"/>
  <c r="AR88" i="1"/>
  <c r="AR92" i="1"/>
  <c r="AW91" i="1"/>
  <c r="AR79" i="1"/>
  <c r="AR84" i="1"/>
  <c r="AW90" i="1"/>
  <c r="AR89" i="1"/>
  <c r="AR94" i="1"/>
  <c r="AR83" i="1"/>
  <c r="AW93" i="1"/>
  <c r="AW79" i="1"/>
  <c r="AW81" i="1"/>
  <c r="AW87" i="1"/>
  <c r="AR90" i="1"/>
  <c r="AW92" i="1"/>
  <c r="AR91" i="1"/>
  <c r="AW84" i="1"/>
  <c r="AW94" i="1"/>
  <c r="AW82" i="1"/>
  <c r="AR87" i="1"/>
  <c r="AW88" i="1"/>
  <c r="AW80" i="1"/>
  <c r="AR82" i="1"/>
  <c r="AW78" i="1"/>
  <c r="AR80" i="1"/>
  <c r="AR13" i="3"/>
  <c r="AM39" i="3" s="1"/>
  <c r="AG39" i="3" s="1"/>
  <c r="J209" i="1"/>
  <c r="AU73" i="3"/>
  <c r="I210" i="1"/>
  <c r="AP78" i="1"/>
  <c r="AB82" i="1"/>
  <c r="AB90" i="1"/>
  <c r="AB85" i="1"/>
  <c r="X52" i="1"/>
  <c r="AR81" i="1"/>
  <c r="AK78" i="1"/>
  <c r="AK93" i="1"/>
  <c r="AW85" i="1"/>
  <c r="AW89" i="1"/>
  <c r="AA21" i="3"/>
  <c r="AB89" i="1"/>
  <c r="W87" i="1"/>
  <c r="W91" i="1"/>
  <c r="W85" i="1"/>
  <c r="W93" i="1"/>
  <c r="AB83" i="1"/>
  <c r="AB78" i="1"/>
  <c r="W79" i="1"/>
  <c r="W78" i="1"/>
  <c r="W94" i="1"/>
  <c r="AB80" i="1"/>
  <c r="W84" i="1"/>
  <c r="H214" i="1"/>
  <c r="J215" i="1"/>
  <c r="F210" i="1"/>
  <c r="AB88" i="1"/>
  <c r="W90" i="1"/>
  <c r="AB87" i="1"/>
  <c r="W27" i="3"/>
  <c r="G4" i="3" s="1"/>
  <c r="J60" i="3" s="1"/>
  <c r="BA60" i="3" s="1"/>
  <c r="AK80" i="1"/>
  <c r="AK82" i="1"/>
  <c r="AK85" i="1"/>
  <c r="AR93" i="1"/>
  <c r="AI97" i="3"/>
  <c r="U97" i="3" s="1"/>
  <c r="AG62" i="3"/>
  <c r="AI67" i="3"/>
  <c r="U67" i="3" s="1"/>
  <c r="M215" i="1"/>
  <c r="G210" i="1"/>
  <c r="M208" i="1"/>
  <c r="K210" i="1"/>
  <c r="H209" i="1"/>
  <c r="H217" i="1"/>
  <c r="H219" i="1" s="1"/>
  <c r="U52" i="1"/>
  <c r="M214" i="1"/>
  <c r="I217" i="1"/>
  <c r="I219" i="1" s="1"/>
  <c r="H215" i="1"/>
  <c r="K213" i="1"/>
  <c r="G213" i="1"/>
  <c r="I213" i="1"/>
  <c r="K209" i="1"/>
  <c r="F214" i="1"/>
  <c r="L214" i="1"/>
  <c r="J210" i="1"/>
  <c r="Z52" i="1"/>
  <c r="T52" i="1"/>
  <c r="AU84" i="3"/>
  <c r="BN108" i="1"/>
  <c r="BN175" i="1"/>
  <c r="BN111" i="1"/>
  <c r="BN3" i="1"/>
  <c r="AI84" i="3"/>
  <c r="U84" i="3" s="1"/>
  <c r="AA20" i="3"/>
  <c r="AK24" i="3"/>
  <c r="E46" i="3"/>
  <c r="BM10" i="1"/>
  <c r="BM15" i="1"/>
  <c r="BM70" i="1"/>
  <c r="BM160" i="1"/>
  <c r="BM186" i="1"/>
  <c r="BM72" i="1"/>
  <c r="BM125" i="1"/>
  <c r="BM5" i="1"/>
  <c r="BM113" i="1" s="1"/>
  <c r="BM119" i="1"/>
  <c r="BM172" i="1"/>
  <c r="BM7" i="1"/>
  <c r="BM9" i="1"/>
  <c r="BM136" i="1"/>
  <c r="BM23" i="1"/>
  <c r="BM74" i="1"/>
  <c r="BM128" i="1"/>
  <c r="BM71" i="1"/>
  <c r="BM75" i="1"/>
  <c r="BM26" i="1"/>
  <c r="BM6" i="1"/>
  <c r="BM18" i="1"/>
  <c r="BM13" i="1"/>
  <c r="BM123" i="1"/>
  <c r="BM138" i="1"/>
  <c r="BM11" i="1"/>
  <c r="BM140" i="1"/>
  <c r="BM24" i="1"/>
  <c r="BM8" i="1"/>
  <c r="BM156" i="1"/>
  <c r="BM182" i="1"/>
  <c r="BM20" i="1"/>
  <c r="BM37" i="1"/>
  <c r="BM184" i="1"/>
  <c r="BM25" i="1"/>
  <c r="BM16" i="1"/>
  <c r="BM181" i="1"/>
  <c r="BM49" i="1"/>
  <c r="BM17" i="1"/>
  <c r="BM22" i="1"/>
  <c r="BM73" i="1"/>
  <c r="BM61" i="1"/>
  <c r="BM69" i="1"/>
  <c r="BM152" i="1"/>
  <c r="BM31" i="1"/>
  <c r="BM117" i="1"/>
  <c r="BM19" i="1"/>
  <c r="BM76" i="1"/>
  <c r="BM164" i="1"/>
  <c r="BM115" i="1"/>
  <c r="BM12" i="1"/>
  <c r="BM121" i="1"/>
  <c r="BM168" i="1"/>
  <c r="BB92" i="1"/>
  <c r="BA92" i="1" s="1"/>
  <c r="BB88" i="1"/>
  <c r="BA88" i="1" s="1"/>
  <c r="BB83" i="1"/>
  <c r="BA83" i="1" s="1"/>
  <c r="BB94" i="1"/>
  <c r="BA94" i="1" s="1"/>
  <c r="BB78" i="1"/>
  <c r="BA78" i="1" s="1"/>
  <c r="BB82" i="1"/>
  <c r="BA82" i="1" s="1"/>
  <c r="BB80" i="1"/>
  <c r="BA80" i="1" s="1"/>
  <c r="BB91" i="1"/>
  <c r="BA91" i="1" s="1"/>
  <c r="BB79" i="1"/>
  <c r="BA79" i="1" s="1"/>
  <c r="BB87" i="1"/>
  <c r="BA87" i="1" s="1"/>
  <c r="BB90" i="1"/>
  <c r="BA90" i="1" s="1"/>
  <c r="BB85" i="1"/>
  <c r="BA85" i="1" s="1"/>
  <c r="BB89" i="1"/>
  <c r="BA89" i="1" s="1"/>
  <c r="BB93" i="1"/>
  <c r="BA93" i="1" s="1"/>
  <c r="BB84" i="1"/>
  <c r="BA84" i="1" s="1"/>
  <c r="BB81" i="1"/>
  <c r="BA81" i="1" s="1"/>
  <c r="S81" i="1"/>
  <c r="R81" i="1" s="1"/>
  <c r="S94" i="1"/>
  <c r="R94" i="1" s="1"/>
  <c r="S85" i="1"/>
  <c r="R85" i="1" s="1"/>
  <c r="S90" i="1"/>
  <c r="R90" i="1" s="1"/>
  <c r="S84" i="1"/>
  <c r="R84" i="1" s="1"/>
  <c r="S80" i="1"/>
  <c r="R80" i="1" s="1"/>
  <c r="S93" i="1"/>
  <c r="R93" i="1" s="1"/>
  <c r="S91" i="1"/>
  <c r="R91" i="1" s="1"/>
  <c r="S92" i="1"/>
  <c r="R92" i="1" s="1"/>
  <c r="S89" i="1"/>
  <c r="R89" i="1" s="1"/>
  <c r="S87" i="1"/>
  <c r="R87" i="1" s="1"/>
  <c r="S83" i="1"/>
  <c r="R83" i="1" s="1"/>
  <c r="S88" i="1"/>
  <c r="R88" i="1" s="1"/>
  <c r="S78" i="1"/>
  <c r="R78" i="1" s="1"/>
  <c r="S82" i="1"/>
  <c r="R82" i="1" s="1"/>
  <c r="S79" i="1"/>
  <c r="R79" i="1" s="1"/>
  <c r="I208" i="1"/>
  <c r="F208" i="1"/>
  <c r="H210" i="1"/>
  <c r="J208" i="1"/>
  <c r="Z64" i="1"/>
  <c r="Z78" i="1"/>
  <c r="Y78" i="1" s="1"/>
  <c r="Z87" i="1"/>
  <c r="Y87" i="1" s="1"/>
  <c r="Z83" i="1"/>
  <c r="Y83" i="1" s="1"/>
  <c r="Z88" i="1"/>
  <c r="Y88" i="1" s="1"/>
  <c r="Z79" i="1"/>
  <c r="Y79" i="1" s="1"/>
  <c r="Z80" i="1"/>
  <c r="Y80" i="1" s="1"/>
  <c r="Z89" i="1"/>
  <c r="Y89" i="1" s="1"/>
  <c r="Z85" i="1"/>
  <c r="Y85" i="1" s="1"/>
  <c r="Z81" i="1"/>
  <c r="Y81" i="1" s="1"/>
  <c r="Z91" i="1"/>
  <c r="Y91" i="1" s="1"/>
  <c r="Z93" i="1"/>
  <c r="Y93" i="1" s="1"/>
  <c r="Z90" i="1"/>
  <c r="Y90" i="1" s="1"/>
  <c r="Z82" i="1"/>
  <c r="Y82" i="1" s="1"/>
  <c r="Z84" i="1"/>
  <c r="Y84" i="1" s="1"/>
  <c r="Z94" i="1"/>
  <c r="Y94" i="1" s="1"/>
  <c r="Z92" i="1"/>
  <c r="Y92" i="1" s="1"/>
  <c r="AO27" i="3"/>
  <c r="AP27" i="3" s="1"/>
  <c r="Z27" i="3"/>
  <c r="AE114" i="3" s="1"/>
  <c r="AK19" i="3"/>
  <c r="AK27" i="3" s="1"/>
  <c r="AI42" i="3"/>
  <c r="U42" i="3" s="1"/>
  <c r="N30" i="4" s="1"/>
  <c r="AC42" i="3"/>
  <c r="AO85" i="3"/>
  <c r="V58" i="1"/>
  <c r="U58" i="1"/>
  <c r="BH19" i="1"/>
  <c r="AV82" i="1"/>
  <c r="AV83" i="1"/>
  <c r="AV79" i="1"/>
  <c r="AV80" i="1"/>
  <c r="AV88" i="1"/>
  <c r="AV93" i="1"/>
  <c r="AV78" i="1"/>
  <c r="AV84" i="1"/>
  <c r="AV89" i="1"/>
  <c r="AV90" i="1"/>
  <c r="AV91" i="1"/>
  <c r="AV92" i="1"/>
  <c r="AV94" i="1"/>
  <c r="AE55" i="1"/>
  <c r="AV81" i="1"/>
  <c r="AV85" i="1"/>
  <c r="AV87" i="1"/>
  <c r="Y58" i="1"/>
  <c r="BM185" i="1"/>
  <c r="BM55" i="1"/>
  <c r="W52" i="1"/>
  <c r="BF98" i="1"/>
  <c r="X46" i="1"/>
  <c r="BH98" i="1"/>
  <c r="L207" i="1"/>
  <c r="L216" i="1" s="1"/>
  <c r="AH82" i="1"/>
  <c r="AH93" i="1"/>
  <c r="BM93" i="1" s="1"/>
  <c r="AH78" i="1"/>
  <c r="AH91" i="1"/>
  <c r="AH87" i="1"/>
  <c r="AH89" i="1"/>
  <c r="BM89" i="1" s="1"/>
  <c r="AH79" i="1"/>
  <c r="AH80" i="1"/>
  <c r="AH92" i="1"/>
  <c r="AH84" i="1"/>
  <c r="BM84" i="1" s="1"/>
  <c r="AH81" i="1"/>
  <c r="BM81" i="1" s="1"/>
  <c r="AH85" i="1"/>
  <c r="BM85" i="1" s="1"/>
  <c r="AH90" i="1"/>
  <c r="BM90" i="1" s="1"/>
  <c r="Z46" i="1"/>
  <c r="BM43" i="1"/>
  <c r="AE43" i="1"/>
  <c r="AH94" i="1"/>
  <c r="AH83" i="1"/>
  <c r="BN83" i="1" s="1"/>
  <c r="BM180" i="1"/>
  <c r="AH88" i="1"/>
  <c r="Y46" i="1"/>
  <c r="BN183" i="1"/>
  <c r="BM183" i="1"/>
  <c r="BM87" i="1"/>
  <c r="M206" i="1"/>
  <c r="M207" i="1"/>
  <c r="M216" i="1" s="1"/>
  <c r="N205" i="1"/>
  <c r="M221" i="1"/>
  <c r="M212" i="1"/>
  <c r="M218" i="1"/>
  <c r="M211" i="1"/>
  <c r="M210" i="1"/>
  <c r="M220" i="1"/>
  <c r="AN79" i="1"/>
  <c r="AM79" i="1" s="1"/>
  <c r="AN84" i="1"/>
  <c r="AM84" i="1" s="1"/>
  <c r="AN82" i="1"/>
  <c r="AM82" i="1" s="1"/>
  <c r="AN91" i="1"/>
  <c r="AM91" i="1" s="1"/>
  <c r="AN85" i="1"/>
  <c r="AM85" i="1" s="1"/>
  <c r="AN88" i="1"/>
  <c r="AM88" i="1" s="1"/>
  <c r="AN94" i="1"/>
  <c r="AM94" i="1" s="1"/>
  <c r="AN92" i="1"/>
  <c r="AM92" i="1" s="1"/>
  <c r="AN81" i="1"/>
  <c r="AM81" i="1" s="1"/>
  <c r="AN78" i="1"/>
  <c r="AM78" i="1" s="1"/>
  <c r="AN89" i="1"/>
  <c r="AM89" i="1" s="1"/>
  <c r="AN87" i="1"/>
  <c r="AM87" i="1" s="1"/>
  <c r="AN83" i="1"/>
  <c r="AM83" i="1" s="1"/>
  <c r="AN93" i="1"/>
  <c r="AM93" i="1" s="1"/>
  <c r="AN90" i="1"/>
  <c r="AM90" i="1" s="1"/>
  <c r="AN80" i="1"/>
  <c r="AM80" i="1" s="1"/>
  <c r="V46" i="1"/>
  <c r="W40" i="1"/>
  <c r="V40" i="1"/>
  <c r="BM82" i="1"/>
  <c r="W58" i="1"/>
  <c r="X58" i="1"/>
  <c r="F211" i="1"/>
  <c r="F220" i="1"/>
  <c r="H206" i="1"/>
  <c r="H207" i="1"/>
  <c r="H216" i="1" s="1"/>
  <c r="F218" i="1"/>
  <c r="H218" i="1"/>
  <c r="I212" i="1"/>
  <c r="H211" i="1"/>
  <c r="G218" i="1"/>
  <c r="G211" i="1"/>
  <c r="H212" i="1"/>
  <c r="F221" i="1"/>
  <c r="F206" i="1"/>
  <c r="G221" i="1"/>
  <c r="H221" i="1"/>
  <c r="I207" i="1"/>
  <c r="I216" i="1" s="1"/>
  <c r="I211" i="1"/>
  <c r="I221" i="1"/>
  <c r="J220" i="1"/>
  <c r="K211" i="1"/>
  <c r="K218" i="1"/>
  <c r="G212" i="1"/>
  <c r="F212" i="1"/>
  <c r="H220" i="1"/>
  <c r="G207" i="1"/>
  <c r="G216" i="1" s="1"/>
  <c r="I206" i="1"/>
  <c r="I220" i="1"/>
  <c r="J206" i="1"/>
  <c r="J218" i="1"/>
  <c r="K212" i="1"/>
  <c r="J212" i="1"/>
  <c r="F207" i="1"/>
  <c r="F216" i="1" s="1"/>
  <c r="J207" i="1"/>
  <c r="J216" i="1" s="1"/>
  <c r="J221" i="1"/>
  <c r="K207" i="1"/>
  <c r="K216" i="1" s="1"/>
  <c r="K206" i="1"/>
  <c r="G206" i="1"/>
  <c r="I218" i="1"/>
  <c r="J211" i="1"/>
  <c r="K220" i="1"/>
  <c r="K221" i="1"/>
  <c r="L206" i="1"/>
  <c r="L212" i="1"/>
  <c r="H208" i="1"/>
  <c r="G220" i="1"/>
  <c r="G208" i="1"/>
  <c r="L218" i="1"/>
  <c r="H213" i="1"/>
  <c r="K208" i="1"/>
  <c r="L220" i="1"/>
  <c r="L221" i="1"/>
  <c r="AP43" i="3"/>
  <c r="AG43" i="3"/>
  <c r="AP45" i="3"/>
  <c r="AG45" i="3"/>
  <c r="AP42" i="3"/>
  <c r="AG42" i="3"/>
  <c r="AP44" i="3"/>
  <c r="AG44" i="3"/>
  <c r="AP38" i="3"/>
  <c r="AG38" i="3"/>
  <c r="AP40" i="3"/>
  <c r="AG40" i="3"/>
  <c r="AP64" i="3"/>
  <c r="AG64" i="3"/>
  <c r="AP41" i="3"/>
  <c r="AG41" i="3"/>
  <c r="AM104" i="3"/>
  <c r="AP104" i="3" s="1"/>
  <c r="AM74" i="3"/>
  <c r="AP74" i="3" s="1"/>
  <c r="AM85" i="3"/>
  <c r="AM86" i="3"/>
  <c r="AP86" i="3" s="1"/>
  <c r="AM52" i="3"/>
  <c r="AP52" i="3" s="1"/>
  <c r="AM89" i="3"/>
  <c r="AP89" i="3" s="1"/>
  <c r="AM94" i="3"/>
  <c r="AP94" i="3" s="1"/>
  <c r="AP98" i="3" s="1"/>
  <c r="N58" i="4"/>
  <c r="AE53" i="3"/>
  <c r="AE38" i="3"/>
  <c r="AN59" i="3"/>
  <c r="AE113" i="3"/>
  <c r="AE44" i="3"/>
  <c r="AK59" i="3"/>
  <c r="AE59" i="3" s="1"/>
  <c r="AM59" i="3"/>
  <c r="AG59" i="3" s="1"/>
  <c r="AE40" i="3"/>
  <c r="AE42" i="3"/>
  <c r="AN45" i="3"/>
  <c r="AE45" i="3"/>
  <c r="AN48" i="3"/>
  <c r="AE48" i="3"/>
  <c r="AE51" i="3"/>
  <c r="AN51" i="3"/>
  <c r="AN41" i="3"/>
  <c r="AE41" i="3"/>
  <c r="AN43" i="3"/>
  <c r="AE43" i="3"/>
  <c r="AN50" i="3"/>
  <c r="AE50" i="3"/>
  <c r="AP59" i="3"/>
  <c r="AD113" i="3"/>
  <c r="AD114" i="3"/>
  <c r="AD48" i="3"/>
  <c r="AD44" i="3"/>
  <c r="AP32" i="3"/>
  <c r="AK102" i="3" s="1"/>
  <c r="AN102" i="3" s="1"/>
  <c r="AP19" i="3"/>
  <c r="X27" i="3"/>
  <c r="AG31" i="3"/>
  <c r="Z29" i="3" s="1"/>
  <c r="AP39" i="3"/>
  <c r="AC39" i="3"/>
  <c r="AI39" i="3"/>
  <c r="U39" i="3" s="1"/>
  <c r="N27" i="4" s="1"/>
  <c r="AU39" i="3"/>
  <c r="AE39" i="3"/>
  <c r="AO61" i="3"/>
  <c r="AO65" i="3" s="1"/>
  <c r="AQ14" i="3" s="1"/>
  <c r="AL65" i="3"/>
  <c r="AQ21" i="3" s="1"/>
  <c r="AM49" i="3"/>
  <c r="AL49" i="3"/>
  <c r="AY49" i="3"/>
  <c r="V49" i="3" s="1"/>
  <c r="S49" i="3"/>
  <c r="AK49" i="3"/>
  <c r="AY60" i="3"/>
  <c r="S60" i="3"/>
  <c r="U38" i="3"/>
  <c r="N26" i="4" s="1"/>
  <c r="F134" i="3"/>
  <c r="BH211" i="3"/>
  <c r="U70" i="3"/>
  <c r="N53" i="4" s="1"/>
  <c r="U48" i="3"/>
  <c r="N37" i="4" s="1"/>
  <c r="BM94" i="1" l="1"/>
  <c r="AO25" i="3"/>
  <c r="AD45" i="3"/>
  <c r="AD50" i="3"/>
  <c r="AD38" i="3"/>
  <c r="AD53" i="3"/>
  <c r="BM80" i="1"/>
  <c r="Q22" i="3"/>
  <c r="Q25" i="3" s="1"/>
  <c r="I4" i="3" s="1"/>
  <c r="AD51" i="3"/>
  <c r="AD42" i="3"/>
  <c r="V60" i="3"/>
  <c r="AD40" i="3"/>
  <c r="R22" i="3"/>
  <c r="R25" i="3" s="1"/>
  <c r="AA27" i="3"/>
  <c r="AD39" i="3"/>
  <c r="AD43" i="3"/>
  <c r="U27" i="3"/>
  <c r="AD41" i="3"/>
  <c r="BM78" i="1"/>
  <c r="BM176" i="1"/>
  <c r="BM147" i="1"/>
  <c r="BL147" i="1" s="1"/>
  <c r="BN26" i="1"/>
  <c r="BN16" i="1"/>
  <c r="BN136" i="1"/>
  <c r="BN10" i="1"/>
  <c r="BN5" i="1"/>
  <c r="BN113" i="1" s="1"/>
  <c r="BN8" i="1"/>
  <c r="BN172" i="1"/>
  <c r="BN23" i="1"/>
  <c r="BN19" i="1"/>
  <c r="BN152" i="1"/>
  <c r="BN128" i="1"/>
  <c r="BN75" i="1"/>
  <c r="BN6" i="1"/>
  <c r="BN184" i="1"/>
  <c r="BN160" i="1"/>
  <c r="BN24" i="1"/>
  <c r="BN22" i="1"/>
  <c r="BN69" i="1"/>
  <c r="BN12" i="1"/>
  <c r="BN25" i="1"/>
  <c r="BN31" i="1"/>
  <c r="BN17" i="1"/>
  <c r="BN76" i="1"/>
  <c r="BN168" i="1"/>
  <c r="BN49" i="1"/>
  <c r="BN73" i="1"/>
  <c r="BN156" i="1"/>
  <c r="BN119" i="1"/>
  <c r="BN140" i="1"/>
  <c r="BN70" i="1"/>
  <c r="BN20" i="1"/>
  <c r="BN7" i="1"/>
  <c r="BN11" i="1"/>
  <c r="BN37" i="1"/>
  <c r="BN164" i="1"/>
  <c r="BN123" i="1"/>
  <c r="BN115" i="1"/>
  <c r="BN130" i="1" s="1"/>
  <c r="BN132" i="1" s="1"/>
  <c r="BN142" i="1" s="1"/>
  <c r="BN177" i="1" s="1"/>
  <c r="BN138" i="1"/>
  <c r="BN18" i="1"/>
  <c r="BN74" i="1"/>
  <c r="BN121" i="1"/>
  <c r="BN13" i="1"/>
  <c r="BN72" i="1"/>
  <c r="BN181" i="1"/>
  <c r="BN106" i="1"/>
  <c r="BN182" i="1"/>
  <c r="BN9" i="1"/>
  <c r="BN61" i="1"/>
  <c r="BN71" i="1"/>
  <c r="BN15" i="1"/>
  <c r="BN186" i="1"/>
  <c r="BN117" i="1"/>
  <c r="BN89" i="1"/>
  <c r="BN87" i="1"/>
  <c r="BN43" i="1"/>
  <c r="BN92" i="1"/>
  <c r="BN55" i="1"/>
  <c r="BM179" i="1"/>
  <c r="S46" i="3"/>
  <c r="AL46" i="3"/>
  <c r="AK46" i="3"/>
  <c r="AM46" i="3"/>
  <c r="BN91" i="1"/>
  <c r="BN81" i="1"/>
  <c r="BN180" i="1"/>
  <c r="BN88" i="1"/>
  <c r="BM91" i="1"/>
  <c r="BN185" i="1"/>
  <c r="BN125" i="1"/>
  <c r="BN78" i="1"/>
  <c r="BN82" i="1"/>
  <c r="BN90" i="1"/>
  <c r="BN85" i="1"/>
  <c r="BN79" i="1"/>
  <c r="BN134" i="1"/>
  <c r="BM130" i="1"/>
  <c r="BM132" i="1" s="1"/>
  <c r="BM142" i="1" s="1"/>
  <c r="BM129" i="1"/>
  <c r="AP24" i="3"/>
  <c r="AK75" i="3" s="1"/>
  <c r="AN75" i="3" s="1"/>
  <c r="AL29" i="3"/>
  <c r="AL30" i="3" s="1"/>
  <c r="AO24" i="3" s="1"/>
  <c r="S75" i="3" s="1"/>
  <c r="D62" i="4" s="1"/>
  <c r="F222" i="1"/>
  <c r="F223" i="1" s="1"/>
  <c r="K222" i="1"/>
  <c r="K223" i="1" s="1"/>
  <c r="M222" i="1"/>
  <c r="M223" i="1" s="1"/>
  <c r="J222" i="1"/>
  <c r="J223" i="1" s="1"/>
  <c r="G222" i="1"/>
  <c r="G223" i="1" s="1"/>
  <c r="L222" i="1"/>
  <c r="L223" i="1" s="1"/>
  <c r="I222" i="1"/>
  <c r="I223" i="1" s="1"/>
  <c r="O205" i="1"/>
  <c r="N207" i="1"/>
  <c r="N216" i="1" s="1"/>
  <c r="N212" i="1"/>
  <c r="N218" i="1"/>
  <c r="N220" i="1"/>
  <c r="N206" i="1"/>
  <c r="N221" i="1"/>
  <c r="N211" i="1"/>
  <c r="N217" i="1"/>
  <c r="N219" i="1" s="1"/>
  <c r="N213" i="1"/>
  <c r="N208" i="1"/>
  <c r="N215" i="1"/>
  <c r="N209" i="1"/>
  <c r="N210" i="1"/>
  <c r="N214" i="1"/>
  <c r="BN84" i="1"/>
  <c r="BM88" i="1"/>
  <c r="BN93" i="1"/>
  <c r="BM79" i="1"/>
  <c r="BM83" i="1"/>
  <c r="H222" i="1"/>
  <c r="H223" i="1" s="1"/>
  <c r="BN80" i="1"/>
  <c r="BN94" i="1"/>
  <c r="AU84" i="1"/>
  <c r="AT84" i="1" s="1"/>
  <c r="AU93" i="1"/>
  <c r="AT93" i="1" s="1"/>
  <c r="AU91" i="1"/>
  <c r="AT91" i="1" s="1"/>
  <c r="AU87" i="1"/>
  <c r="AT87" i="1" s="1"/>
  <c r="AU88" i="1"/>
  <c r="AT88" i="1" s="1"/>
  <c r="AU85" i="1"/>
  <c r="AT85" i="1" s="1"/>
  <c r="AU80" i="1"/>
  <c r="AT80" i="1" s="1"/>
  <c r="AU92" i="1"/>
  <c r="AT92" i="1" s="1"/>
  <c r="AU90" i="1"/>
  <c r="AT90" i="1" s="1"/>
  <c r="AU82" i="1"/>
  <c r="AT82" i="1" s="1"/>
  <c r="AU78" i="1"/>
  <c r="AT78" i="1" s="1"/>
  <c r="AU94" i="1"/>
  <c r="AT94" i="1" s="1"/>
  <c r="AU89" i="1"/>
  <c r="AT89" i="1" s="1"/>
  <c r="AU83" i="1"/>
  <c r="AT83" i="1" s="1"/>
  <c r="AU79" i="1"/>
  <c r="AT79" i="1" s="1"/>
  <c r="AU81" i="1"/>
  <c r="AT81" i="1" s="1"/>
  <c r="BM92" i="1"/>
  <c r="AG80" i="1"/>
  <c r="AF80" i="1" s="1"/>
  <c r="AG85" i="1"/>
  <c r="AF85" i="1" s="1"/>
  <c r="AG88" i="1"/>
  <c r="AF88" i="1" s="1"/>
  <c r="AG84" i="1"/>
  <c r="AF84" i="1" s="1"/>
  <c r="AG89" i="1"/>
  <c r="AF89" i="1" s="1"/>
  <c r="AG91" i="1"/>
  <c r="AF91" i="1" s="1"/>
  <c r="AG93" i="1"/>
  <c r="AF93" i="1" s="1"/>
  <c r="AG78" i="1"/>
  <c r="AF78" i="1" s="1"/>
  <c r="AG79" i="1"/>
  <c r="AF79" i="1" s="1"/>
  <c r="AG87" i="1"/>
  <c r="AF87" i="1" s="1"/>
  <c r="AG81" i="1"/>
  <c r="AF81" i="1" s="1"/>
  <c r="AG92" i="1"/>
  <c r="AF92" i="1" s="1"/>
  <c r="AG90" i="1"/>
  <c r="AF90" i="1" s="1"/>
  <c r="AG82" i="1"/>
  <c r="AF82" i="1" s="1"/>
  <c r="AG83" i="1"/>
  <c r="AF83" i="1" s="1"/>
  <c r="AG94" i="1"/>
  <c r="AF94" i="1" s="1"/>
  <c r="AM98" i="3"/>
  <c r="AG98" i="3" s="1"/>
  <c r="AP85" i="3"/>
  <c r="AR29" i="3"/>
  <c r="AD59" i="3"/>
  <c r="AO32" i="3"/>
  <c r="S102" i="3" s="1"/>
  <c r="AU102" i="3" s="1"/>
  <c r="AO19" i="3"/>
  <c r="S74" i="3" s="1"/>
  <c r="D155" i="3"/>
  <c r="BG240" i="3" s="1"/>
  <c r="G1" i="3"/>
  <c r="S113" i="3"/>
  <c r="Z73" i="3"/>
  <c r="R29" i="4"/>
  <c r="Z72" i="3"/>
  <c r="AR25" i="3"/>
  <c r="AP25" i="3"/>
  <c r="AK89" i="3"/>
  <c r="AN89" i="3" s="1"/>
  <c r="AK104" i="3"/>
  <c r="AN104" i="3" s="1"/>
  <c r="AK94" i="3"/>
  <c r="AN94" i="3" s="1"/>
  <c r="AK74" i="3"/>
  <c r="AN74" i="3" s="1"/>
  <c r="AK52" i="3"/>
  <c r="AK86" i="3"/>
  <c r="AN86" i="3" s="1"/>
  <c r="AK85" i="3"/>
  <c r="F136" i="3"/>
  <c r="J80" i="3"/>
  <c r="BA80" i="3" s="1"/>
  <c r="J81" i="3"/>
  <c r="BA81" i="3" s="1"/>
  <c r="F137" i="3"/>
  <c r="BH210" i="3" s="1"/>
  <c r="M132" i="3"/>
  <c r="BH207" i="3"/>
  <c r="F135" i="3"/>
  <c r="AN49" i="3"/>
  <c r="AE49" i="3"/>
  <c r="AD49" i="3"/>
  <c r="AU49" i="3"/>
  <c r="AC49" i="3"/>
  <c r="AI49" i="3"/>
  <c r="AU60" i="3"/>
  <c r="AI60" i="3"/>
  <c r="AP20" i="3"/>
  <c r="AK60" i="3"/>
  <c r="AC60" i="3"/>
  <c r="AC65" i="3" s="1"/>
  <c r="AO49" i="3"/>
  <c r="AO54" i="3" s="1"/>
  <c r="AL54" i="3"/>
  <c r="AP49" i="3"/>
  <c r="AP54" i="3" s="1"/>
  <c r="AM54" i="3"/>
  <c r="BN129" i="1" l="1"/>
  <c r="BN144" i="1"/>
  <c r="AU75" i="3"/>
  <c r="AP46" i="3"/>
  <c r="AP47" i="3" s="1"/>
  <c r="AP55" i="3" s="1"/>
  <c r="AR26" i="3" s="1"/>
  <c r="AG46" i="3"/>
  <c r="AM47" i="3"/>
  <c r="AG47" i="3" s="1"/>
  <c r="BN179" i="1"/>
  <c r="BM148" i="1"/>
  <c r="BL148" i="1" s="1"/>
  <c r="BM144" i="1"/>
  <c r="BM177" i="1"/>
  <c r="S200" i="1"/>
  <c r="C228" i="1"/>
  <c r="AD46" i="3"/>
  <c r="AN46" i="3"/>
  <c r="AN47" i="3" s="1"/>
  <c r="AK47" i="3"/>
  <c r="AE46" i="3"/>
  <c r="AL47" i="3"/>
  <c r="AL55" i="3" s="1"/>
  <c r="AO46" i="3"/>
  <c r="AO47" i="3" s="1"/>
  <c r="AO55" i="3" s="1"/>
  <c r="AC46" i="3"/>
  <c r="AU46" i="3"/>
  <c r="AI46" i="3"/>
  <c r="S47" i="3"/>
  <c r="AC47" i="3" s="1"/>
  <c r="BN176" i="1"/>
  <c r="BN147" i="1"/>
  <c r="BN148" i="1"/>
  <c r="M201" i="1" s="1"/>
  <c r="AI75" i="3"/>
  <c r="U75" i="3" s="1"/>
  <c r="N222" i="1"/>
  <c r="N223" i="1" s="1"/>
  <c r="O221" i="1"/>
  <c r="O211" i="1"/>
  <c r="P205" i="1"/>
  <c r="O212" i="1"/>
  <c r="O207" i="1"/>
  <c r="O216" i="1" s="1"/>
  <c r="O206" i="1"/>
  <c r="O218" i="1"/>
  <c r="O220" i="1"/>
  <c r="O209" i="1"/>
  <c r="O208" i="1"/>
  <c r="O213" i="1"/>
  <c r="O210" i="1"/>
  <c r="O217" i="1"/>
  <c r="O219" i="1" s="1"/>
  <c r="O215" i="1"/>
  <c r="O214" i="1"/>
  <c r="AG54" i="3"/>
  <c r="D147" i="3"/>
  <c r="F147" i="3" s="1"/>
  <c r="S104" i="3"/>
  <c r="AU104" i="3" s="1"/>
  <c r="S52" i="3"/>
  <c r="S54" i="3" s="1"/>
  <c r="D150" i="3"/>
  <c r="BG235" i="3" s="1"/>
  <c r="S89" i="3"/>
  <c r="D75" i="4" s="1"/>
  <c r="D152" i="3"/>
  <c r="H152" i="3" s="1"/>
  <c r="BK237" i="3" s="1"/>
  <c r="D148" i="3"/>
  <c r="F148" i="3" s="1"/>
  <c r="BI233" i="3" s="1"/>
  <c r="S87" i="3"/>
  <c r="D153" i="3"/>
  <c r="BG238" i="3" s="1"/>
  <c r="D151" i="3"/>
  <c r="BG236" i="3" s="1"/>
  <c r="S94" i="3"/>
  <c r="N3" i="4" s="1"/>
  <c r="D149" i="3"/>
  <c r="BG234" i="3" s="1"/>
  <c r="D154" i="3"/>
  <c r="BG239" i="3" s="1"/>
  <c r="AY103" i="3"/>
  <c r="V103" i="3" s="1"/>
  <c r="S86" i="3"/>
  <c r="AI86" i="3" s="1"/>
  <c r="U86" i="3" s="1"/>
  <c r="AK96" i="3"/>
  <c r="AI102" i="3"/>
  <c r="U102" i="3" s="1"/>
  <c r="AD52" i="3"/>
  <c r="AN52" i="3"/>
  <c r="AN54" i="3" s="1"/>
  <c r="AE52" i="3"/>
  <c r="S85" i="3"/>
  <c r="D71" i="4" s="1"/>
  <c r="AK54" i="3"/>
  <c r="AE54" i="3" s="1"/>
  <c r="AN85" i="3"/>
  <c r="AP29" i="3"/>
  <c r="AU74" i="3"/>
  <c r="D61" i="4"/>
  <c r="AI74" i="3"/>
  <c r="U74" i="3" s="1"/>
  <c r="U49" i="3"/>
  <c r="N38" i="4" s="1"/>
  <c r="AM71" i="3"/>
  <c r="AP71" i="3" s="1"/>
  <c r="S71" i="3"/>
  <c r="AY71" i="3"/>
  <c r="V71" i="3" s="1"/>
  <c r="AL71" i="3"/>
  <c r="AO71" i="3" s="1"/>
  <c r="AK71" i="3"/>
  <c r="AN71" i="3" s="1"/>
  <c r="U60" i="3"/>
  <c r="M134" i="3"/>
  <c r="BG217" i="3"/>
  <c r="Q132" i="3"/>
  <c r="M136" i="3"/>
  <c r="BH209" i="3"/>
  <c r="AM88" i="3"/>
  <c r="AP88" i="3" s="1"/>
  <c r="AL88" i="3"/>
  <c r="AO88" i="3" s="1"/>
  <c r="AK88" i="3"/>
  <c r="AN88" i="3" s="1"/>
  <c r="S88" i="3"/>
  <c r="AY88" i="3"/>
  <c r="V88" i="3" s="1"/>
  <c r="AN60" i="3"/>
  <c r="AN65" i="3" s="1"/>
  <c r="AP14" i="3" s="1"/>
  <c r="AE60" i="3"/>
  <c r="AK65" i="3"/>
  <c r="AD60" i="3"/>
  <c r="M135" i="3"/>
  <c r="BH208" i="3"/>
  <c r="AI104" i="3" l="1"/>
  <c r="U104" i="3" s="1"/>
  <c r="AN55" i="3"/>
  <c r="AP26" i="3" s="1"/>
  <c r="S55" i="3"/>
  <c r="AC55" i="3" s="1"/>
  <c r="AM55" i="3"/>
  <c r="AG55" i="3" s="1"/>
  <c r="AE47" i="3"/>
  <c r="AD47" i="3"/>
  <c r="U46" i="3"/>
  <c r="N34" i="4" s="1"/>
  <c r="N35" i="4" s="1"/>
  <c r="AI47" i="3"/>
  <c r="O222" i="1"/>
  <c r="O223" i="1" s="1"/>
  <c r="P212" i="1"/>
  <c r="P206" i="1"/>
  <c r="P211" i="1"/>
  <c r="P207" i="1"/>
  <c r="P216" i="1" s="1"/>
  <c r="P221" i="1"/>
  <c r="P220" i="1"/>
  <c r="P210" i="1"/>
  <c r="P218" i="1"/>
  <c r="Q205" i="1"/>
  <c r="P208" i="1"/>
  <c r="P217" i="1"/>
  <c r="P219" i="1" s="1"/>
  <c r="P214" i="1"/>
  <c r="P209" i="1"/>
  <c r="P215" i="1"/>
  <c r="P213" i="1"/>
  <c r="AU52" i="3"/>
  <c r="BG232" i="3"/>
  <c r="D76" i="4"/>
  <c r="F150" i="3"/>
  <c r="BI235" i="3" s="1"/>
  <c r="AC52" i="3"/>
  <c r="H151" i="3"/>
  <c r="AC54" i="3"/>
  <c r="AK87" i="3"/>
  <c r="AN87" i="3" s="1"/>
  <c r="AN91" i="3" s="1"/>
  <c r="AI52" i="3"/>
  <c r="U52" i="3" s="1"/>
  <c r="N41" i="4" s="1"/>
  <c r="N43" i="4" s="1"/>
  <c r="BG237" i="3"/>
  <c r="AI89" i="3"/>
  <c r="U89" i="3" s="1"/>
  <c r="AU89" i="3"/>
  <c r="S103" i="3"/>
  <c r="AI103" i="3" s="1"/>
  <c r="U103" i="3" s="1"/>
  <c r="N57" i="4" s="1"/>
  <c r="AL103" i="3"/>
  <c r="AO103" i="3" s="1"/>
  <c r="AK103" i="3"/>
  <c r="AN103" i="3" s="1"/>
  <c r="AM103" i="3"/>
  <c r="AP103" i="3" s="1"/>
  <c r="F153" i="3"/>
  <c r="BI238" i="3" s="1"/>
  <c r="F149" i="3"/>
  <c r="BI234" i="3" s="1"/>
  <c r="H153" i="3"/>
  <c r="BK238" i="3" s="1"/>
  <c r="D143" i="3"/>
  <c r="BG228" i="3" s="1"/>
  <c r="AM87" i="3"/>
  <c r="AP87" i="3" s="1"/>
  <c r="AP91" i="3" s="1"/>
  <c r="AY87" i="3"/>
  <c r="V87" i="3" s="1"/>
  <c r="AL87" i="3"/>
  <c r="AO87" i="3" s="1"/>
  <c r="AO91" i="3" s="1"/>
  <c r="BG233" i="3"/>
  <c r="AL96" i="3"/>
  <c r="AO96" i="3" s="1"/>
  <c r="AO98" i="3" s="1"/>
  <c r="S96" i="3"/>
  <c r="S98" i="3" s="1"/>
  <c r="AC98" i="3" s="1"/>
  <c r="AY96" i="3"/>
  <c r="V96" i="3" s="1"/>
  <c r="AI94" i="3"/>
  <c r="U94" i="3" s="1"/>
  <c r="AU94" i="3"/>
  <c r="AK55" i="3"/>
  <c r="AE55" i="3" s="1"/>
  <c r="D72" i="4"/>
  <c r="AD54" i="3"/>
  <c r="AI85" i="3"/>
  <c r="U85" i="3" s="1"/>
  <c r="AU85" i="3"/>
  <c r="AO29" i="3"/>
  <c r="AU88" i="3"/>
  <c r="AI88" i="3"/>
  <c r="U88" i="3" s="1"/>
  <c r="D74" i="4"/>
  <c r="Z88" i="3"/>
  <c r="J63" i="3"/>
  <c r="BA63" i="3" s="1"/>
  <c r="BG219" i="3"/>
  <c r="BI232" i="3"/>
  <c r="BG221" i="3"/>
  <c r="Q136" i="3"/>
  <c r="F15" i="4"/>
  <c r="S194" i="1"/>
  <c r="N5" i="4"/>
  <c r="BG220" i="3"/>
  <c r="Q135" i="3"/>
  <c r="Q134" i="3"/>
  <c r="BJ217" i="3"/>
  <c r="AI71" i="3"/>
  <c r="U71" i="3" s="1"/>
  <c r="N54" i="4" s="1"/>
  <c r="AU71" i="3"/>
  <c r="AU87" i="3"/>
  <c r="AI87" i="3"/>
  <c r="U87" i="3" s="1"/>
  <c r="D73" i="4"/>
  <c r="Z87" i="3"/>
  <c r="AN96" i="3"/>
  <c r="AN98" i="3" s="1"/>
  <c r="AK98" i="3"/>
  <c r="AP21" i="3"/>
  <c r="S91" i="3"/>
  <c r="AC91" i="3" s="1"/>
  <c r="AJ47" i="3" l="1"/>
  <c r="U47" i="3"/>
  <c r="P222" i="1"/>
  <c r="P223" i="1" s="1"/>
  <c r="Q212" i="1"/>
  <c r="Q221" i="1"/>
  <c r="Q211" i="1"/>
  <c r="Q206" i="1"/>
  <c r="Q207" i="1"/>
  <c r="Q216" i="1" s="1"/>
  <c r="Q220" i="1"/>
  <c r="R205" i="1"/>
  <c r="Q218" i="1"/>
  <c r="Q208" i="1"/>
  <c r="Q209" i="1"/>
  <c r="Q214" i="1"/>
  <c r="Q210" i="1"/>
  <c r="Q213" i="1"/>
  <c r="Q217" i="1"/>
  <c r="Q219" i="1" s="1"/>
  <c r="Q215" i="1"/>
  <c r="AI54" i="3"/>
  <c r="U54" i="3" s="1"/>
  <c r="H155" i="3"/>
  <c r="BK240" i="3" s="1"/>
  <c r="BK236" i="3"/>
  <c r="AK91" i="3"/>
  <c r="AE91" i="3" s="1"/>
  <c r="AU103" i="3"/>
  <c r="AM91" i="3"/>
  <c r="AG91" i="3" s="1"/>
  <c r="F155" i="3"/>
  <c r="BI240" i="3" s="1"/>
  <c r="AL98" i="3"/>
  <c r="AL91" i="3"/>
  <c r="AI96" i="3"/>
  <c r="U96" i="3" s="1"/>
  <c r="H3" i="4"/>
  <c r="AD55" i="3"/>
  <c r="AI91" i="3"/>
  <c r="U91" i="3" s="1"/>
  <c r="BJ220" i="3"/>
  <c r="AS81" i="3"/>
  <c r="E81" i="3" s="1"/>
  <c r="C226" i="1"/>
  <c r="S196" i="1"/>
  <c r="T196" i="1" s="1"/>
  <c r="C229" i="1" s="1"/>
  <c r="BF138" i="1"/>
  <c r="T194" i="1"/>
  <c r="AS80" i="3"/>
  <c r="E80" i="3" s="1"/>
  <c r="BJ221" i="3"/>
  <c r="BJ219" i="3"/>
  <c r="AS63" i="3"/>
  <c r="E63" i="3" s="1"/>
  <c r="AE98" i="3"/>
  <c r="AD98" i="3"/>
  <c r="U55" i="3" l="1"/>
  <c r="Q222" i="1"/>
  <c r="Q223" i="1" s="1"/>
  <c r="R206" i="1"/>
  <c r="R207" i="1"/>
  <c r="R216" i="1" s="1"/>
  <c r="R208" i="1"/>
  <c r="R220" i="1"/>
  <c r="R211" i="1"/>
  <c r="R212" i="1"/>
  <c r="R221" i="1"/>
  <c r="S205" i="1"/>
  <c r="R218" i="1"/>
  <c r="R214" i="1"/>
  <c r="R210" i="1"/>
  <c r="R215" i="1"/>
  <c r="R217" i="1"/>
  <c r="R219" i="1" s="1"/>
  <c r="R209" i="1"/>
  <c r="R213" i="1"/>
  <c r="AS101" i="3"/>
  <c r="E101" i="3" s="1"/>
  <c r="AK101" i="3" s="1"/>
  <c r="AN101" i="3" s="1"/>
  <c r="AJ54" i="3"/>
  <c r="AJ59" i="3" s="1"/>
  <c r="AO26" i="3" s="1"/>
  <c r="AD91" i="3"/>
  <c r="AS100" i="3"/>
  <c r="E100" i="3" s="1"/>
  <c r="AM100" i="3" s="1"/>
  <c r="AI98" i="3"/>
  <c r="U98" i="3" s="1"/>
  <c r="BG138" i="1"/>
  <c r="BH138" i="1" s="1"/>
  <c r="O101" i="1" s="1"/>
  <c r="O104" i="1"/>
  <c r="AM81" i="3"/>
  <c r="AP81" i="3" s="1"/>
  <c r="AK81" i="3"/>
  <c r="AN81" i="3" s="1"/>
  <c r="AL81" i="3"/>
  <c r="AO81" i="3" s="1"/>
  <c r="AY81" i="3"/>
  <c r="V81" i="3" s="1"/>
  <c r="S81" i="3"/>
  <c r="S63" i="3"/>
  <c r="AY63" i="3"/>
  <c r="V63" i="3" s="1"/>
  <c r="S80" i="3"/>
  <c r="AM80" i="3"/>
  <c r="AP80" i="3" s="1"/>
  <c r="AL80" i="3"/>
  <c r="AO80" i="3" s="1"/>
  <c r="AK80" i="3"/>
  <c r="AN80" i="3" s="1"/>
  <c r="AY80" i="3"/>
  <c r="V80" i="3" s="1"/>
  <c r="S211" i="1" l="1"/>
  <c r="S218" i="1"/>
  <c r="S206" i="1"/>
  <c r="S220" i="1"/>
  <c r="T205" i="1"/>
  <c r="S207" i="1"/>
  <c r="S216" i="1" s="1"/>
  <c r="S212" i="1"/>
  <c r="S221" i="1"/>
  <c r="S209" i="1"/>
  <c r="S213" i="1"/>
  <c r="S215" i="1"/>
  <c r="S214" i="1"/>
  <c r="S217" i="1"/>
  <c r="S219" i="1" s="1"/>
  <c r="S210" i="1"/>
  <c r="S208" i="1"/>
  <c r="R222" i="1"/>
  <c r="R223" i="1" s="1"/>
  <c r="AL100" i="3"/>
  <c r="AO100" i="3" s="1"/>
  <c r="AM101" i="3"/>
  <c r="AP101" i="3" s="1"/>
  <c r="S101" i="3"/>
  <c r="AU101" i="3" s="1"/>
  <c r="AL101" i="3"/>
  <c r="AO101" i="3" s="1"/>
  <c r="AY101" i="3"/>
  <c r="V101" i="3" s="1"/>
  <c r="S100" i="3"/>
  <c r="AI100" i="3" s="1"/>
  <c r="AK100" i="3"/>
  <c r="AN100" i="3" s="1"/>
  <c r="AN106" i="3" s="1"/>
  <c r="AY100" i="3"/>
  <c r="V100" i="3" s="1"/>
  <c r="AI80" i="3"/>
  <c r="U80" i="3" s="1"/>
  <c r="AU80" i="3"/>
  <c r="D67" i="4"/>
  <c r="AP100" i="3"/>
  <c r="S65" i="3"/>
  <c r="AI63" i="3"/>
  <c r="AM63" i="3"/>
  <c r="AG63" i="3" s="1"/>
  <c r="AU63" i="3"/>
  <c r="AI81" i="3"/>
  <c r="U81" i="3" s="1"/>
  <c r="AU81" i="3"/>
  <c r="D68" i="4"/>
  <c r="Q104" i="1"/>
  <c r="R104" i="1" s="1"/>
  <c r="Z104" i="1"/>
  <c r="AA104" i="1" s="1"/>
  <c r="AF104" i="1"/>
  <c r="AG104" i="1" s="1"/>
  <c r="M198" i="1"/>
  <c r="AC104" i="1"/>
  <c r="AD104" i="1" s="1"/>
  <c r="W104" i="1"/>
  <c r="X104" i="1" s="1"/>
  <c r="N104" i="1"/>
  <c r="T104" i="1"/>
  <c r="U104" i="1" s="1"/>
  <c r="AF101" i="1"/>
  <c r="AC101" i="1"/>
  <c r="T101" i="1"/>
  <c r="BG100" i="1"/>
  <c r="Q101" i="1"/>
  <c r="W101" i="1"/>
  <c r="Z101" i="1"/>
  <c r="S222" i="1" l="1"/>
  <c r="S223" i="1" s="1"/>
  <c r="T206" i="1"/>
  <c r="T212" i="1"/>
  <c r="T208" i="1"/>
  <c r="T207" i="1"/>
  <c r="T216" i="1" s="1"/>
  <c r="T211" i="1"/>
  <c r="T218" i="1"/>
  <c r="T220" i="1"/>
  <c r="U205" i="1"/>
  <c r="T221" i="1"/>
  <c r="T209" i="1"/>
  <c r="T210" i="1"/>
  <c r="T214" i="1"/>
  <c r="T215" i="1"/>
  <c r="T213" i="1"/>
  <c r="T217" i="1"/>
  <c r="T219" i="1" s="1"/>
  <c r="AI101" i="3"/>
  <c r="U101" i="3" s="1"/>
  <c r="AM106" i="3"/>
  <c r="AG106" i="3" s="1"/>
  <c r="AP106" i="3"/>
  <c r="AO106" i="3"/>
  <c r="AL106" i="3"/>
  <c r="AA29" i="4"/>
  <c r="S106" i="3"/>
  <c r="AC106" i="3" s="1"/>
  <c r="AK106" i="3"/>
  <c r="AD106" i="3" s="1"/>
  <c r="AA17" i="4"/>
  <c r="AU100" i="3"/>
  <c r="U100" i="3"/>
  <c r="AO20" i="3"/>
  <c r="AO21" i="3"/>
  <c r="R15" i="4"/>
  <c r="X201" i="1"/>
  <c r="X199" i="1"/>
  <c r="BG108" i="1"/>
  <c r="AP63" i="3"/>
  <c r="AP65" i="3" s="1"/>
  <c r="AM65" i="3"/>
  <c r="BH100" i="1"/>
  <c r="BH106" i="1" s="1"/>
  <c r="BG106" i="1"/>
  <c r="E214" i="1" s="1"/>
  <c r="AI65" i="3"/>
  <c r="U63" i="3"/>
  <c r="T222" i="1" l="1"/>
  <c r="T223" i="1" s="1"/>
  <c r="V205" i="1"/>
  <c r="U221" i="1"/>
  <c r="U207" i="1"/>
  <c r="U216" i="1" s="1"/>
  <c r="U220" i="1"/>
  <c r="U218" i="1"/>
  <c r="U206" i="1"/>
  <c r="U215" i="1"/>
  <c r="U211" i="1"/>
  <c r="U212" i="1"/>
  <c r="U208" i="1"/>
  <c r="U210" i="1"/>
  <c r="U209" i="1"/>
  <c r="U217" i="1"/>
  <c r="U219" i="1" s="1"/>
  <c r="U214" i="1"/>
  <c r="U213" i="1"/>
  <c r="AI106" i="3"/>
  <c r="U106" i="3" s="1"/>
  <c r="AE106" i="3"/>
  <c r="U65" i="3"/>
  <c r="AO14" i="3"/>
  <c r="E215" i="1"/>
  <c r="BH108" i="1"/>
  <c r="BH113" i="1" s="1"/>
  <c r="AR21" i="3"/>
  <c r="BG113" i="1"/>
  <c r="E216" i="1" s="1"/>
  <c r="AR14" i="3"/>
  <c r="AK66" i="3"/>
  <c r="AL66" i="3"/>
  <c r="S66" i="3"/>
  <c r="AY66" i="3"/>
  <c r="V66" i="3" s="1"/>
  <c r="AM66" i="3"/>
  <c r="AP66" i="3" s="1"/>
  <c r="AP68" i="3" s="1"/>
  <c r="U222" i="1" l="1"/>
  <c r="U223" i="1" s="1"/>
  <c r="V207" i="1"/>
  <c r="V216" i="1" s="1"/>
  <c r="V212" i="1"/>
  <c r="V218" i="1"/>
  <c r="V211" i="1"/>
  <c r="V221" i="1"/>
  <c r="W205" i="1"/>
  <c r="V208" i="1"/>
  <c r="V206" i="1"/>
  <c r="V220" i="1"/>
  <c r="V210" i="1"/>
  <c r="V215" i="1"/>
  <c r="V213" i="1"/>
  <c r="V209" i="1"/>
  <c r="V214" i="1"/>
  <c r="V217" i="1"/>
  <c r="V219" i="1" s="1"/>
  <c r="AP69" i="3"/>
  <c r="AR16" i="3" s="1"/>
  <c r="AR15" i="3"/>
  <c r="AR17" i="3"/>
  <c r="AL68" i="3"/>
  <c r="AL69" i="3" s="1"/>
  <c r="AO66" i="3"/>
  <c r="AO68" i="3" s="1"/>
  <c r="S68" i="3"/>
  <c r="AU66" i="3"/>
  <c r="AI66" i="3"/>
  <c r="AN66" i="3"/>
  <c r="AN68" i="3" s="1"/>
  <c r="AK68" i="3"/>
  <c r="AM68" i="3"/>
  <c r="V222" i="1" l="1"/>
  <c r="V223" i="1" s="1"/>
  <c r="W211" i="1"/>
  <c r="W220" i="1"/>
  <c r="W209" i="1"/>
  <c r="W221" i="1"/>
  <c r="X205" i="1"/>
  <c r="W206" i="1"/>
  <c r="W207" i="1"/>
  <c r="W216" i="1" s="1"/>
  <c r="W208" i="1"/>
  <c r="W212" i="1"/>
  <c r="W218" i="1"/>
  <c r="W215" i="1"/>
  <c r="W214" i="1"/>
  <c r="W210" i="1"/>
  <c r="W213" i="1"/>
  <c r="W217" i="1"/>
  <c r="W219" i="1" s="1"/>
  <c r="AM69" i="3"/>
  <c r="AG68" i="3"/>
  <c r="AN69" i="3"/>
  <c r="AP16" i="3" s="1"/>
  <c r="AP15" i="3"/>
  <c r="AP17" i="3"/>
  <c r="U66" i="3"/>
  <c r="N52" i="4" s="1"/>
  <c r="N60" i="4" s="1"/>
  <c r="R30" i="4" s="1"/>
  <c r="AI68" i="3"/>
  <c r="AM78" i="3"/>
  <c r="AM79" i="3"/>
  <c r="AP79" i="3" s="1"/>
  <c r="AO69" i="3"/>
  <c r="AQ16" i="3" s="1"/>
  <c r="AQ15" i="3"/>
  <c r="AQ17" i="3"/>
  <c r="AD68" i="3"/>
  <c r="AK69" i="3"/>
  <c r="AE68" i="3"/>
  <c r="AU68" i="3"/>
  <c r="AC68" i="3"/>
  <c r="S69" i="3"/>
  <c r="W222" i="1" l="1"/>
  <c r="W223" i="1" s="1"/>
  <c r="X206" i="1"/>
  <c r="X212" i="1"/>
  <c r="X221" i="1"/>
  <c r="X207" i="1"/>
  <c r="X216" i="1" s="1"/>
  <c r="X211" i="1"/>
  <c r="X220" i="1"/>
  <c r="Y205" i="1"/>
  <c r="X218" i="1"/>
  <c r="X210" i="1"/>
  <c r="X213" i="1"/>
  <c r="X208" i="1"/>
  <c r="X215" i="1"/>
  <c r="X214" i="1"/>
  <c r="X217" i="1"/>
  <c r="X219" i="1" s="1"/>
  <c r="X209" i="1"/>
  <c r="AL78" i="3"/>
  <c r="AL79" i="3"/>
  <c r="AO79" i="3" s="1"/>
  <c r="Z85" i="3"/>
  <c r="AJ68" i="3"/>
  <c r="AO16" i="3" s="1"/>
  <c r="AO17" i="3"/>
  <c r="Z84" i="3"/>
  <c r="U68" i="3"/>
  <c r="U69" i="3" s="1"/>
  <c r="AO15" i="3"/>
  <c r="W113" i="3"/>
  <c r="AK79" i="3"/>
  <c r="AN79" i="3" s="1"/>
  <c r="AK78" i="3"/>
  <c r="AP78" i="3"/>
  <c r="AP83" i="3" s="1"/>
  <c r="AP92" i="3" s="1"/>
  <c r="AP93" i="3" s="1"/>
  <c r="AM83" i="3"/>
  <c r="X222" i="1" l="1"/>
  <c r="X223" i="1" s="1"/>
  <c r="Y211" i="1"/>
  <c r="Y212" i="1"/>
  <c r="Y221" i="1"/>
  <c r="Y218" i="1"/>
  <c r="Y206" i="1"/>
  <c r="Y207" i="1"/>
  <c r="Y216" i="1" s="1"/>
  <c r="Y209" i="1"/>
  <c r="Y220" i="1"/>
  <c r="Y213" i="1"/>
  <c r="Y214" i="1"/>
  <c r="Y217" i="1"/>
  <c r="Y219" i="1" s="1"/>
  <c r="Y210" i="1"/>
  <c r="Y208" i="1"/>
  <c r="Y215" i="1"/>
  <c r="AM92" i="3"/>
  <c r="AG83" i="3"/>
  <c r="AN78" i="3"/>
  <c r="AN83" i="3" s="1"/>
  <c r="AN92" i="3" s="1"/>
  <c r="AN93" i="3" s="1"/>
  <c r="AK83" i="3"/>
  <c r="AR23" i="3"/>
  <c r="AP99" i="3"/>
  <c r="S78" i="3"/>
  <c r="AO33" i="3"/>
  <c r="S79" i="3"/>
  <c r="AO78" i="3"/>
  <c r="AO83" i="3" s="1"/>
  <c r="AO92" i="3" s="1"/>
  <c r="AO93" i="3" s="1"/>
  <c r="AL83" i="3"/>
  <c r="AL92" i="3" s="1"/>
  <c r="AL93" i="3" s="1"/>
  <c r="Y222" i="1" l="1"/>
  <c r="Y223" i="1" s="1"/>
  <c r="AM93" i="3"/>
  <c r="AM99" i="3" s="1"/>
  <c r="AM107" i="3" s="1"/>
  <c r="AG92" i="3"/>
  <c r="D66" i="4"/>
  <c r="AI79" i="3"/>
  <c r="U79" i="3" s="1"/>
  <c r="AU79" i="3"/>
  <c r="AI78" i="3"/>
  <c r="S83" i="3"/>
  <c r="D65" i="4"/>
  <c r="AU78" i="3"/>
  <c r="AN99" i="3"/>
  <c r="AP23" i="3"/>
  <c r="AO99" i="3"/>
  <c r="AO109" i="3"/>
  <c r="AQ23" i="3"/>
  <c r="AR18" i="3"/>
  <c r="AP107" i="3"/>
  <c r="AE83" i="3"/>
  <c r="AK92" i="3"/>
  <c r="AD83" i="3"/>
  <c r="AL109" i="3"/>
  <c r="AL99" i="3"/>
  <c r="AL107" i="3" s="1"/>
  <c r="AG107" i="3" l="1"/>
  <c r="AG112" i="3"/>
  <c r="AE92" i="3"/>
  <c r="AK93" i="3"/>
  <c r="AK99" i="3" s="1"/>
  <c r="AK107" i="3" s="1"/>
  <c r="AD92" i="3"/>
  <c r="AQ30" i="3"/>
  <c r="AP18" i="3"/>
  <c r="AN107" i="3"/>
  <c r="U78" i="3"/>
  <c r="AI83" i="3"/>
  <c r="AQ18" i="3"/>
  <c r="AO107" i="3"/>
  <c r="S92" i="3"/>
  <c r="AC83" i="3"/>
  <c r="U83" i="3" l="1"/>
  <c r="AI92" i="3"/>
  <c r="AC92" i="3"/>
  <c r="S93" i="3"/>
  <c r="AE112" i="3"/>
  <c r="AE107" i="3"/>
  <c r="AD112" i="3"/>
  <c r="AD107" i="3"/>
  <c r="S99" i="3" l="1"/>
  <c r="S107" i="3" s="1"/>
  <c r="AJ110" i="3"/>
  <c r="AJ92" i="3"/>
  <c r="U92" i="3"/>
  <c r="U93" i="3" s="1"/>
  <c r="T83" i="3" l="1"/>
  <c r="N21" i="4"/>
  <c r="T69" i="3"/>
  <c r="T55" i="3"/>
  <c r="T99" i="3"/>
  <c r="T92" i="3"/>
  <c r="T91" i="3"/>
  <c r="R28" i="3"/>
  <c r="U112" i="3"/>
  <c r="S112" i="3" s="1"/>
  <c r="T113" i="3"/>
  <c r="T47" i="3"/>
  <c r="T93" i="3"/>
  <c r="T68" i="3"/>
  <c r="T107" i="3"/>
  <c r="T106" i="3"/>
  <c r="T98" i="3"/>
  <c r="T54" i="3"/>
  <c r="AC107" i="3"/>
  <c r="N20" i="4"/>
  <c r="U113" i="3"/>
  <c r="AO31" i="3"/>
  <c r="U99" i="3"/>
  <c r="U107" i="3" s="1"/>
  <c r="AJ98" i="3"/>
  <c r="AO23" i="3"/>
  <c r="AJ109" i="3"/>
  <c r="AO30" i="3" s="1"/>
  <c r="G2" i="3" l="1"/>
  <c r="Z30" i="3"/>
  <c r="AO18" i="3"/>
  <c r="AJ106" i="3"/>
  <c r="V113" i="3" s="1"/>
  <c r="Z31" i="3"/>
  <c r="G3" i="3"/>
  <c r="AR30" i="3"/>
  <c r="AP30" i="3"/>
  <c r="W112" i="3"/>
  <c r="V112" i="3" l="1"/>
</calcChain>
</file>

<file path=xl/sharedStrings.xml><?xml version="1.0" encoding="utf-8"?>
<sst xmlns="http://schemas.openxmlformats.org/spreadsheetml/2006/main" count="1443" uniqueCount="601">
  <si>
    <t>Cadences de ventes</t>
  </si>
  <si>
    <t>Colonne de controle</t>
  </si>
  <si>
    <t>Les colonnes suivantes seront générées par la macro avec un recopier sur la droite.</t>
  </si>
  <si>
    <t>Date début - 1 mois -------&gt;</t>
  </si>
  <si>
    <t>Taux de</t>
  </si>
  <si>
    <t>Budget HT</t>
  </si>
  <si>
    <t>Budget TTC</t>
  </si>
  <si>
    <t>TVA</t>
  </si>
  <si>
    <t>La colonne BM sert à contrôler</t>
  </si>
  <si>
    <t>CHARGES FONCIERES</t>
  </si>
  <si>
    <t>Dates</t>
  </si>
  <si>
    <t>Montants</t>
  </si>
  <si>
    <t>Dates en mois</t>
  </si>
  <si>
    <t>la date de début saisie</t>
  </si>
  <si>
    <t>Terrain</t>
  </si>
  <si>
    <t>Frais de notaire</t>
  </si>
  <si>
    <t>Relevé topographique</t>
  </si>
  <si>
    <t>REDEVANCES</t>
  </si>
  <si>
    <t>V.R.D.</t>
  </si>
  <si>
    <t>V.R.D. 1</t>
  </si>
  <si>
    <t>V.R.D. 2</t>
  </si>
  <si>
    <t>V.R.D. 3</t>
  </si>
  <si>
    <t>V.R.D. 4</t>
  </si>
  <si>
    <t>V.R.D. 5</t>
  </si>
  <si>
    <t>% APF</t>
  </si>
  <si>
    <t>% TRAVAUX</t>
  </si>
  <si>
    <t>C.A.</t>
  </si>
  <si>
    <t>AO</t>
  </si>
  <si>
    <t>DT</t>
  </si>
  <si>
    <t>FO</t>
  </si>
  <si>
    <t>PL</t>
  </si>
  <si>
    <t>CH</t>
  </si>
  <si>
    <t>HO</t>
  </si>
  <si>
    <t>CL</t>
  </si>
  <si>
    <t>CA</t>
  </si>
  <si>
    <t>LI</t>
  </si>
  <si>
    <t>Tranches de travaux</t>
  </si>
  <si>
    <t>BUD HT</t>
  </si>
  <si>
    <t>=0 si enc. manuel</t>
  </si>
  <si>
    <t>Tranche 1</t>
  </si>
  <si>
    <t>Durée chantier</t>
  </si>
  <si>
    <t>T1</t>
  </si>
  <si>
    <t>CAF</t>
  </si>
  <si>
    <t>NB LOTS</t>
  </si>
  <si>
    <t>NOTIF</t>
  </si>
  <si>
    <t>Planif.</t>
  </si>
  <si>
    <t>H.C.</t>
  </si>
  <si>
    <t>Cumul travaux</t>
  </si>
  <si>
    <t>Travaux par mois</t>
  </si>
  <si>
    <t>CA par lot</t>
  </si>
  <si>
    <t>Tranche 2</t>
  </si>
  <si>
    <t>T2</t>
  </si>
  <si>
    <t>Tranche 3</t>
  </si>
  <si>
    <t>T3</t>
  </si>
  <si>
    <t>Tranche 4</t>
  </si>
  <si>
    <t>T4</t>
  </si>
  <si>
    <t>Tranche 5</t>
  </si>
  <si>
    <t>T5</t>
  </si>
  <si>
    <t>Tranche 6</t>
  </si>
  <si>
    <t>T6</t>
  </si>
  <si>
    <t>TOTAL</t>
  </si>
  <si>
    <t>Imprévus</t>
  </si>
  <si>
    <t>B.E.T. extérieur</t>
  </si>
  <si>
    <t>Architecte</t>
  </si>
  <si>
    <t>H. EXTERNES AUTOMATIQUES</t>
  </si>
  <si>
    <t>%AF</t>
  </si>
  <si>
    <t>Nb Mois</t>
  </si>
  <si>
    <t>%durée</t>
  </si>
  <si>
    <t>%Liv</t>
  </si>
  <si>
    <t>TRANCHE 1</t>
  </si>
  <si>
    <t>TRANCHE 2</t>
  </si>
  <si>
    <t>TRANCHE 3</t>
  </si>
  <si>
    <t>TRANCHE 4</t>
  </si>
  <si>
    <t>TRANCHE 5</t>
  </si>
  <si>
    <t>TRANCHE 6</t>
  </si>
  <si>
    <t>Juridique et divers</t>
  </si>
  <si>
    <t>Charges de copropriété</t>
  </si>
  <si>
    <t>Controle technique</t>
  </si>
  <si>
    <t>Dommage ouvrage</t>
  </si>
  <si>
    <t>Responsabilité civile</t>
  </si>
  <si>
    <t>Sécurité</t>
  </si>
  <si>
    <t>H. INTERNES</t>
  </si>
  <si>
    <t>%AO</t>
  </si>
  <si>
    <t>Coordination</t>
  </si>
  <si>
    <t>Maitrise d'oeuvre</t>
  </si>
  <si>
    <t>Gestion</t>
  </si>
  <si>
    <t>Montage d'opération</t>
  </si>
  <si>
    <t>Administration des ventes</t>
  </si>
  <si>
    <t>MT/LOT</t>
  </si>
  <si>
    <t>Commercialisation</t>
  </si>
  <si>
    <t>Total charges</t>
  </si>
  <si>
    <t>TVA résid.</t>
  </si>
  <si>
    <t>TVA COLLECTEE</t>
  </si>
  <si>
    <t>TVA DEDUCT.</t>
  </si>
  <si>
    <t>TVACOL/LOT</t>
  </si>
  <si>
    <t>TVADED/LOT</t>
  </si>
  <si>
    <t>Marge</t>
  </si>
  <si>
    <t>P.R. HT</t>
  </si>
  <si>
    <t>CAF HT/LOT</t>
  </si>
  <si>
    <t>PR/LOT</t>
  </si>
  <si>
    <t>Marge/LOT</t>
  </si>
  <si>
    <t>Décalage paiement fournisseurs (nb mois)</t>
  </si>
  <si>
    <t>Dividendes de construction</t>
  </si>
  <si>
    <t>Décalage réservation - signature (nb mois)</t>
  </si>
  <si>
    <t>Décalage APF - Paiement (nb mois)</t>
  </si>
  <si>
    <t>Décalage honoraires internes - paiement (nb mois)</t>
  </si>
  <si>
    <t>Dividendes de droit commun</t>
  </si>
  <si>
    <t>Décalage constat - paiement TVA (nb mois)</t>
  </si>
  <si>
    <t>Mois de paiement des dividendes</t>
  </si>
  <si>
    <t>TOTAL DEPENSES</t>
  </si>
  <si>
    <t>Décalage calcul des frais financiers - paiment (nb mois)</t>
  </si>
  <si>
    <t>Encaissements manuels (mis à blanc si encaissement automatiques)</t>
  </si>
  <si>
    <t>Encaissements</t>
  </si>
  <si>
    <t>N</t>
  </si>
  <si>
    <t>CAF/LOT</t>
  </si>
  <si>
    <t>%</t>
  </si>
  <si>
    <t>1ère sign</t>
  </si>
  <si>
    <t>Planification</t>
  </si>
  <si>
    <t>O</t>
  </si>
  <si>
    <t>Versem.</t>
  </si>
  <si>
    <t>Rbt</t>
  </si>
  <si>
    <t>TOTAL RECETTES</t>
  </si>
  <si>
    <t>Trésorerie avant</t>
  </si>
  <si>
    <t>Date en mois</t>
  </si>
  <si>
    <t>FF initiaux</t>
  </si>
  <si>
    <t>G.F.A</t>
  </si>
  <si>
    <t>Frais financiers</t>
  </si>
  <si>
    <t>Produits financiers</t>
  </si>
  <si>
    <t>TRESORERIE APRES</t>
  </si>
  <si>
    <t>Calcul rbt apport promot.</t>
  </si>
  <si>
    <t>RENTABILITE</t>
  </si>
  <si>
    <t>RENTABILITE2</t>
  </si>
  <si>
    <t>Réservations T1</t>
  </si>
  <si>
    <t>Réservations T1 cumul</t>
  </si>
  <si>
    <t>Signatures T1</t>
  </si>
  <si>
    <t>Réservations T2</t>
  </si>
  <si>
    <t>Réservations T2 cumul</t>
  </si>
  <si>
    <t>Signatures T2</t>
  </si>
  <si>
    <t>Réservations T3</t>
  </si>
  <si>
    <t>Réservations T3 cumul</t>
  </si>
  <si>
    <t>Signatures T3</t>
  </si>
  <si>
    <t>Réservations T4</t>
  </si>
  <si>
    <t>Réservations T4 cumul</t>
  </si>
  <si>
    <t>Signatures T4</t>
  </si>
  <si>
    <t>Réservations T5</t>
  </si>
  <si>
    <t>Réservations T5 cumul</t>
  </si>
  <si>
    <t>Signatures T5</t>
  </si>
  <si>
    <t>Réservations T6</t>
  </si>
  <si>
    <t>Réservations T6 cumul</t>
  </si>
  <si>
    <t>Signatures T6</t>
  </si>
  <si>
    <t>GRAPHIQUE</t>
  </si>
  <si>
    <t>DATES</t>
  </si>
  <si>
    <t>TRESORERIE</t>
  </si>
  <si>
    <t>RESERVATIONS</t>
  </si>
  <si>
    <t>SIGNATURES</t>
  </si>
  <si>
    <t>STOCKS</t>
  </si>
  <si>
    <t>CONSTRUC.  T1</t>
  </si>
  <si>
    <t>CONSTRUC.  T2</t>
  </si>
  <si>
    <t>CONSTRUC.  T3</t>
  </si>
  <si>
    <t>CONSTRUC.  T4</t>
  </si>
  <si>
    <t>CONSTRUC.  T5</t>
  </si>
  <si>
    <t>CONSTRUC.  T6</t>
  </si>
  <si>
    <t>LES DATES SONT EN LIGNE</t>
  </si>
  <si>
    <t>EDITION TOUS LES</t>
  </si>
  <si>
    <t>Mois</t>
  </si>
  <si>
    <t xml:space="preserve">Edition sur </t>
  </si>
  <si>
    <t>Ans</t>
  </si>
  <si>
    <t>Date début édition</t>
  </si>
  <si>
    <t>Décalage date début édition/date début</t>
  </si>
  <si>
    <t xml:space="preserve"> </t>
  </si>
  <si>
    <t>Prog. immob.</t>
  </si>
  <si>
    <t>Budget FF</t>
  </si>
  <si>
    <t>Date création</t>
  </si>
  <si>
    <t>Phase</t>
  </si>
  <si>
    <t>FF calculés</t>
  </si>
  <si>
    <t>Activité</t>
  </si>
  <si>
    <t>Rbt conseillé</t>
  </si>
  <si>
    <t>Date de début</t>
  </si>
  <si>
    <t>Nb lots</t>
  </si>
  <si>
    <t>dont FF initiaux</t>
  </si>
  <si>
    <t>C.A  T.T.C</t>
  </si>
  <si>
    <t>Cad. réserv.</t>
  </si>
  <si>
    <t>Découvert max.</t>
  </si>
  <si>
    <t>Marge/C.A HT</t>
  </si>
  <si>
    <t>DEBUT</t>
  </si>
  <si>
    <t>FIN</t>
  </si>
  <si>
    <t>Bud. glob.</t>
  </si>
  <si>
    <t>Charges foncières</t>
  </si>
  <si>
    <t>Redevances</t>
  </si>
  <si>
    <t>T.V.A. résiduelle</t>
  </si>
  <si>
    <t>Dividendes</t>
  </si>
  <si>
    <t>Observations</t>
  </si>
  <si>
    <t>Paramètres et taux standarts pour le plan de trésorerie</t>
  </si>
  <si>
    <t>Version 1.1</t>
  </si>
  <si>
    <t>% Frais financiers</t>
  </si>
  <si>
    <t>% Produits financiers</t>
  </si>
  <si>
    <t>L</t>
  </si>
  <si>
    <t>P</t>
  </si>
  <si>
    <t>TRANCHES DE TRAVAUX</t>
  </si>
  <si>
    <t>PARAMETRES</t>
  </si>
  <si>
    <t>Activité  L/P</t>
  </si>
  <si>
    <t>Paramètres standarts (O/N) :</t>
  </si>
  <si>
    <t>Date</t>
  </si>
  <si>
    <t>Cadence</t>
  </si>
  <si>
    <t>Cad. réserv./mois</t>
  </si>
  <si>
    <t>C.A. TTC</t>
  </si>
  <si>
    <t>LCT COM.</t>
  </si>
  <si>
    <t>Total</t>
  </si>
  <si>
    <t>Versement</t>
  </si>
  <si>
    <t>Remboursement</t>
  </si>
  <si>
    <t>Code</t>
  </si>
  <si>
    <t>ENCAISSEMENTS MANUELS</t>
  </si>
  <si>
    <t/>
  </si>
  <si>
    <t>Rentab. Capitaux</t>
  </si>
  <si>
    <t>Rentabilité Cap. Investis</t>
  </si>
  <si>
    <t xml:space="preserve">Apport compl. </t>
  </si>
  <si>
    <t>Fonds propres</t>
  </si>
  <si>
    <t>F.P./P.R  H.T</t>
  </si>
  <si>
    <t>Rentab. F.P.</t>
  </si>
  <si>
    <t>Fonds propres/P.R  H.T</t>
  </si>
  <si>
    <t>Rentabilité Fonds propres</t>
  </si>
  <si>
    <t>FONDS PROPRES</t>
  </si>
  <si>
    <t>Apport complém.</t>
  </si>
  <si>
    <t>Euros</t>
  </si>
  <si>
    <t>Dernier Encais.</t>
  </si>
  <si>
    <t>Date_Dernier_Encai</t>
  </si>
  <si>
    <t>Total TVA</t>
  </si>
  <si>
    <t>P. Vente TTC</t>
  </si>
  <si>
    <t>Marge HT</t>
  </si>
  <si>
    <t>% Marge HT</t>
  </si>
  <si>
    <t>Surf.Habit.</t>
  </si>
  <si>
    <t>Rend.</t>
  </si>
  <si>
    <t>Nb logts</t>
  </si>
  <si>
    <t>SHON GLOBALE</t>
  </si>
  <si>
    <t xml:space="preserve">HAUTEUR </t>
  </si>
  <si>
    <t>Rythme de vente / Mois</t>
  </si>
  <si>
    <t>% apport promoteur</t>
  </si>
  <si>
    <t>COEF TVA</t>
  </si>
  <si>
    <t>BASE</t>
  </si>
  <si>
    <t>LIBELLE</t>
  </si>
  <si>
    <t>MONTANT TOTAL</t>
  </si>
  <si>
    <t>MONTANT/ LGT</t>
  </si>
  <si>
    <t>MT PARK</t>
  </si>
  <si>
    <t>MT AUTRES</t>
  </si>
  <si>
    <t>Début commercialisation</t>
  </si>
  <si>
    <t>% Actualisation</t>
  </si>
  <si>
    <t>A</t>
  </si>
  <si>
    <t>MONTANT IMPOSE . . . . . . . . . . . . . . . . . . . . . . . .. . . . . . . . . . . . . . . . . . . . . . . . . .</t>
  </si>
  <si>
    <t>B</t>
  </si>
  <si>
    <t>TERRAIN HT. . . . . . .  . . . . . . . . . . . . . . . . . . . . . . . .. . . . . . . . . . . . . . . . . . . . . . . . . .</t>
  </si>
  <si>
    <t>LIGNE</t>
  </si>
  <si>
    <t>LOGEMENTS</t>
  </si>
  <si>
    <t>Garages</t>
  </si>
  <si>
    <t>Programme</t>
  </si>
  <si>
    <t>Logements</t>
  </si>
  <si>
    <t>Auteur</t>
  </si>
  <si>
    <t>C</t>
  </si>
  <si>
    <t>SL</t>
  </si>
  <si>
    <t>Type lgt</t>
  </si>
  <si>
    <t>SH/lgt</t>
  </si>
  <si>
    <t>NB</t>
  </si>
  <si>
    <t>COUT</t>
  </si>
  <si>
    <t>TYPE</t>
  </si>
  <si>
    <t>Type lgt.</t>
  </si>
  <si>
    <t>Sh/lgt</t>
  </si>
  <si>
    <t>Sh Tot</t>
  </si>
  <si>
    <t>Prix</t>
  </si>
  <si>
    <t>Prix/m2</t>
  </si>
  <si>
    <t>Date de réalisation</t>
  </si>
  <si>
    <t>D</t>
  </si>
  <si>
    <t>(3 + 4) TTC . . . . . . . . . . . . . . . . . . . . . . . . . . . . . . . . . . . . . . . . . . . . . . . . . . . . . . . . . .</t>
  </si>
  <si>
    <t>Couv.SS</t>
  </si>
  <si>
    <t>Version</t>
  </si>
  <si>
    <t xml:space="preserve">éditée le </t>
  </si>
  <si>
    <t>COEFF SHON</t>
  </si>
  <si>
    <t>E</t>
  </si>
  <si>
    <t>(1 à 4) TTC . . . . . . . . . . . . . . . . . . . . . . . . . . . . . . . . . . . . . . . . . . . . . . . . . . . . . . . . . .</t>
  </si>
  <si>
    <t>LL</t>
  </si>
  <si>
    <t>Box Ext.</t>
  </si>
  <si>
    <t>Garages + Parkings</t>
  </si>
  <si>
    <t>F</t>
  </si>
  <si>
    <t>Parkings</t>
  </si>
  <si>
    <t>GLOBAL</t>
  </si>
  <si>
    <t>LOGT</t>
  </si>
  <si>
    <t>P.U.</t>
  </si>
  <si>
    <t>G</t>
  </si>
  <si>
    <t>(1 à 6) TTC . . . . . . . . . . . . . . . . . . . . . . . . . . . . . . . . . . . . . . . . . . . . . . . . . . . . . . . . . .</t>
  </si>
  <si>
    <t>Pkg Ext</t>
  </si>
  <si>
    <t>NB Logement</t>
  </si>
  <si>
    <t>Couverts SS</t>
  </si>
  <si>
    <t>H</t>
  </si>
  <si>
    <t>PV TTC  . . . . . . . . . . . . . . . . . . . . . . . . . . . . . . . . . . . . . . . . . . . . . . . . . . . . . . . . . . . . .</t>
  </si>
  <si>
    <t>Boxes exterieurs</t>
  </si>
  <si>
    <t>I</t>
  </si>
  <si>
    <t>S/T CONSTRUCTION  HT . . . . . . . . . . . . . . . . . . . . .  . . . . . . . . . . . . . . . . . . . . . . . .</t>
  </si>
  <si>
    <t>Surf Terrain</t>
  </si>
  <si>
    <t>J</t>
  </si>
  <si>
    <t>(3 + 4 HORS IMPREVU) HT . . . . . . . . . . . . . . . . . . . .  . . . . . . . . . . . . . . . . . . . . . . . .</t>
  </si>
  <si>
    <t>Libellé</t>
  </si>
  <si>
    <t>M2</t>
  </si>
  <si>
    <t>PU TTC</t>
  </si>
  <si>
    <t>Surf. Hab.</t>
  </si>
  <si>
    <t>Park exterieur</t>
  </si>
  <si>
    <t>K</t>
  </si>
  <si>
    <t xml:space="preserve">TLE + TDCAUE + TC = 1,75 KF * SHON *TAUX . . .  . . . . . . . . . . . . . . . . . . . . . . </t>
  </si>
  <si>
    <t>Surf. Utile</t>
  </si>
  <si>
    <t>(1 à 5) TTC . . . . . . . . . . . . . . . . . . . . . . . . . . . . . . . . . . . . . . . . . . . . . . . . . . . . . . . . . .</t>
  </si>
  <si>
    <t>COS</t>
  </si>
  <si>
    <t>M</t>
  </si>
  <si>
    <t>PV HT . . . . . . . . . . . . . . . . . . . . . . . . . . . . . . . . . . . . . . . . . . . . . . . . . . . . . . . . . . . . . .</t>
  </si>
  <si>
    <t>RENDEMENT</t>
  </si>
  <si>
    <t>SURF. HABITABLE</t>
  </si>
  <si>
    <t>FONCIER AM.TTC</t>
  </si>
  <si>
    <t>NBR DE LOT</t>
  </si>
  <si>
    <t>A = MONTANT IMPOSE</t>
  </si>
  <si>
    <t>G = (1 à 6) TTC</t>
  </si>
  <si>
    <t>M = PV HT</t>
  </si>
  <si>
    <t>Montant apport promoteur</t>
  </si>
  <si>
    <t>Q</t>
  </si>
  <si>
    <t>NBR DE GARAGE</t>
  </si>
  <si>
    <t>B = TERRAIN HT</t>
  </si>
  <si>
    <t>H = PV TTC</t>
  </si>
  <si>
    <t>PRIX DE VENTE PREV. TTC</t>
  </si>
  <si>
    <t>R</t>
  </si>
  <si>
    <t>441 HT</t>
  </si>
  <si>
    <t>C = (388 + REVISION) TTC</t>
  </si>
  <si>
    <t>I=(S/TOT CONSTRUCT. HT)</t>
  </si>
  <si>
    <t>MARGE SUR VENTE HT</t>
  </si>
  <si>
    <t>TOTAL (Autres)</t>
  </si>
  <si>
    <t>S</t>
  </si>
  <si>
    <t xml:space="preserve">(1à5)TTC-8%(1à5)HT-TVA résid.  . . . . . . . . . . . . . . . . . . . . . . . . . . . . . . . . . . . . . . . </t>
  </si>
  <si>
    <t>ERR</t>
  </si>
  <si>
    <t>D = (3 + 4) TTC</t>
  </si>
  <si>
    <t>J = (3 + 4 HORS IMPRÉVU) HT</t>
  </si>
  <si>
    <t>fin  de commercialisation</t>
  </si>
  <si>
    <t>% MARGE SUR VENTE HT</t>
  </si>
  <si>
    <t>% D'ACTUALISATION</t>
  </si>
  <si>
    <t>T</t>
  </si>
  <si>
    <t>(1 à 5) TTC - CONST TTC</t>
  </si>
  <si>
    <t>U</t>
  </si>
  <si>
    <t>PV TTC - PV TTC Autres  . . . . . . . . . . . . . . . . . . . . . . . . . . . . . . . . . . . . . . . . . . . . . . . . . . . . . . . . . . . . .</t>
  </si>
  <si>
    <t>. . . . . . . . . . . . . . . . . . . . . . . . . . . . . . . . . . . . . . . . . . . . . . . . . . . . . . . . . . . . . . . . . . . .</t>
  </si>
  <si>
    <t>ERREUR</t>
  </si>
  <si>
    <t>E = (1 à 4) TTC</t>
  </si>
  <si>
    <t>K = CALCUL PARTICULIER</t>
  </si>
  <si>
    <t xml:space="preserve">% </t>
  </si>
  <si>
    <t xml:space="preserve">Ratios </t>
  </si>
  <si>
    <t>F =(3 + 4 + 420 + 430 + 440 + 441 + 470 +475)TTC</t>
  </si>
  <si>
    <t>L = (1 à 5) TTC</t>
  </si>
  <si>
    <t>Postes</t>
  </si>
  <si>
    <t>TAUX</t>
  </si>
  <si>
    <t>H.T.</t>
  </si>
  <si>
    <t>RVT</t>
  </si>
  <si>
    <t>T.T.C</t>
  </si>
  <si>
    <t>Commentaires</t>
  </si>
  <si>
    <t>P rev HT</t>
  </si>
  <si>
    <t>P Rev HT LGT</t>
  </si>
  <si>
    <t>TAUX TVA</t>
  </si>
  <si>
    <t>MONTANT</t>
  </si>
  <si>
    <t>CUMULS</t>
  </si>
  <si>
    <t>HT par logt</t>
  </si>
  <si>
    <t>HT par park</t>
  </si>
  <si>
    <t>HT par autres</t>
  </si>
  <si>
    <t>TTC par logt</t>
  </si>
  <si>
    <t>TTC par park</t>
  </si>
  <si>
    <t>TTC par autres</t>
  </si>
  <si>
    <t>M. Imp./Taux</t>
  </si>
  <si>
    <t>Bases Autorisées.</t>
  </si>
  <si>
    <t>HT</t>
  </si>
  <si>
    <t>ou mode de calcul</t>
  </si>
  <si>
    <t>/m2 shon</t>
  </si>
  <si>
    <t>/m2 Hab</t>
  </si>
  <si>
    <t>par logt</t>
  </si>
  <si>
    <t>Garage</t>
  </si>
  <si>
    <t>M2 Autres</t>
  </si>
  <si>
    <t>Base Modifie</t>
  </si>
  <si>
    <t>Taux Modifie</t>
  </si>
  <si>
    <t>TVA Modifie</t>
  </si>
  <si>
    <t>AB</t>
  </si>
  <si>
    <t>Frais notaire</t>
  </si>
  <si>
    <t>Indemnités diverses</t>
  </si>
  <si>
    <t>Sondage</t>
  </si>
  <si>
    <t>Comm. intermed.</t>
  </si>
  <si>
    <t>Démolitions</t>
  </si>
  <si>
    <t>Relevés topographi.</t>
  </si>
  <si>
    <t xml:space="preserve">AB </t>
  </si>
  <si>
    <t>CHARGE FONCIERE</t>
  </si>
  <si>
    <t>ABK</t>
  </si>
  <si>
    <t>TLE+TDCAUE+TC</t>
  </si>
  <si>
    <t>T.R.D.</t>
  </si>
  <si>
    <t>T.E.V.</t>
  </si>
  <si>
    <t>Redevanc. avec Tva</t>
  </si>
  <si>
    <t>Taxes diverses</t>
  </si>
  <si>
    <t>Total 1 + 2</t>
  </si>
  <si>
    <t>VRD interne</t>
  </si>
  <si>
    <t>VRD externe</t>
  </si>
  <si>
    <t>ANP</t>
  </si>
  <si>
    <t>Construction lgts</t>
  </si>
  <si>
    <t>AQ</t>
  </si>
  <si>
    <t xml:space="preserve">  </t>
  </si>
  <si>
    <t>Construction garage</t>
  </si>
  <si>
    <t>Construct. autres</t>
  </si>
  <si>
    <t>S/T Construction</t>
  </si>
  <si>
    <t>AJ</t>
  </si>
  <si>
    <t>Imprévus / SAV</t>
  </si>
  <si>
    <t>AIJ</t>
  </si>
  <si>
    <t>3+4</t>
  </si>
  <si>
    <t>COUTS TECH+ IMPREV.</t>
  </si>
  <si>
    <t>TOTAL (1 A 4)</t>
  </si>
  <si>
    <t>ABCDEIJO</t>
  </si>
  <si>
    <t>BET Extérieur</t>
  </si>
  <si>
    <t>ACDEHIJOP</t>
  </si>
  <si>
    <t>ACDEFHIOM</t>
  </si>
  <si>
    <t>ACDEHM</t>
  </si>
  <si>
    <t>Charges de copro.</t>
  </si>
  <si>
    <t>ACDEHIJO</t>
  </si>
  <si>
    <t>Contrôle technique</t>
  </si>
  <si>
    <t>475 Sécurité</t>
  </si>
  <si>
    <t>ACDEFHIO</t>
  </si>
  <si>
    <t>S/T Hon. externes</t>
  </si>
  <si>
    <t>ACDEFHIMOP</t>
  </si>
  <si>
    <t>ACDEFHIMO</t>
  </si>
  <si>
    <t>Maîtrise d'oeuvre</t>
  </si>
  <si>
    <t>Suivi de programme</t>
  </si>
  <si>
    <t>ADEHIMO</t>
  </si>
  <si>
    <t>Montage opération</t>
  </si>
  <si>
    <t>Admin. des ventes</t>
  </si>
  <si>
    <t>S/T Hon. internes</t>
  </si>
  <si>
    <t>HONORAIRES</t>
  </si>
  <si>
    <t>(1 A 5)</t>
  </si>
  <si>
    <t>AEHLOT</t>
  </si>
  <si>
    <t>Frais financier</t>
  </si>
  <si>
    <t>AHS</t>
  </si>
  <si>
    <t>FRAIS FINANCIERS + GFA</t>
  </si>
  <si>
    <t>(1 A 6)</t>
  </si>
  <si>
    <t>AEGHLMOPU</t>
  </si>
  <si>
    <t>Hon. commerciaux</t>
  </si>
  <si>
    <t>Hon. commer. Exter.</t>
  </si>
  <si>
    <t>Publicité</t>
  </si>
  <si>
    <t>Publicité Internet</t>
  </si>
  <si>
    <t>COMMERCIALISATION</t>
  </si>
  <si>
    <t>PRIX DE REVIENT</t>
  </si>
  <si>
    <t xml:space="preserve">        </t>
  </si>
  <si>
    <t>prix de</t>
  </si>
  <si>
    <t>CA TTC/</t>
  </si>
  <si>
    <t>P.V. TTC LGT</t>
  </si>
  <si>
    <t>P.V. TTC</t>
  </si>
  <si>
    <t>PR TTC sans la G.F.A ----------&gt;</t>
  </si>
  <si>
    <t>vente</t>
  </si>
  <si>
    <t>Marge /</t>
  </si>
  <si>
    <t>1 à 4</t>
  </si>
  <si>
    <t>Par</t>
  </si>
  <si>
    <t>par</t>
  </si>
  <si>
    <t>PR HT sans la G.F.A------------&gt;</t>
  </si>
  <si>
    <t>TTC</t>
  </si>
  <si>
    <t>vente HT</t>
  </si>
  <si>
    <t>Résidu.</t>
  </si>
  <si>
    <t xml:space="preserve"> m2 hab</t>
  </si>
  <si>
    <t>/logt</t>
  </si>
  <si>
    <t>m2 Autr.</t>
  </si>
  <si>
    <t>PRIX  VENTE THEORIQUE</t>
  </si>
  <si>
    <t>PRIX DE VENTE MARCHE</t>
  </si>
  <si>
    <t>Lot moyen (PV TTC LOGT +GAR/PARK.)</t>
  </si>
  <si>
    <t>COMMENTAIRES</t>
  </si>
  <si>
    <t>TLE + TDCAUE + TC</t>
  </si>
  <si>
    <t>Redevance avec TVA</t>
  </si>
  <si>
    <t>A répartir</t>
  </si>
  <si>
    <t>Publicité internet</t>
  </si>
  <si>
    <t>Mt TTC</t>
  </si>
  <si>
    <t>Frais Généraux Com.</t>
  </si>
  <si>
    <t>Frais Genéraux Com.</t>
  </si>
  <si>
    <t>510&amp;511 répartir</t>
  </si>
  <si>
    <t>Construct.+Imp.</t>
  </si>
  <si>
    <t>Hono. Internes</t>
  </si>
  <si>
    <t>388 TTC . . . . . . . . . . . . . . . . . . . . . . .. . . . . . . . . . . . . . . . . . . . . . . . . .</t>
  </si>
  <si>
    <t>Frais Offerts</t>
  </si>
  <si>
    <t>Intérêts intercalaires</t>
  </si>
  <si>
    <t>Frais Financiers</t>
  </si>
  <si>
    <t>Frais offerts</t>
  </si>
  <si>
    <t>Hono.&amp; Frais Externes</t>
  </si>
  <si>
    <t>Frais Généraux com.</t>
  </si>
  <si>
    <t>AHU</t>
  </si>
  <si>
    <t>NOM DU DOCUMENT :</t>
  </si>
  <si>
    <t>H. MANUELS</t>
  </si>
  <si>
    <t>H. AUTOMATIQUES</t>
  </si>
  <si>
    <t>Divers H. internes</t>
  </si>
  <si>
    <t xml:space="preserve">Divers H.Ex+Divers FF </t>
  </si>
  <si>
    <t>H. AUTO.</t>
  </si>
  <si>
    <t>Commercial.</t>
  </si>
  <si>
    <t>ACDEFHIOR</t>
  </si>
  <si>
    <t>ACDEHIJMO</t>
  </si>
  <si>
    <t>Dépollution</t>
  </si>
  <si>
    <t>Taux TVA</t>
  </si>
  <si>
    <t>Prix Unit TTC.</t>
  </si>
  <si>
    <t>Cout unitaire</t>
  </si>
  <si>
    <t>CA Logts HT</t>
  </si>
  <si>
    <t>CA Ann. HT</t>
  </si>
  <si>
    <t>PV Autre HT</t>
  </si>
  <si>
    <t>Actual. HT</t>
  </si>
  <si>
    <t>PV Total HT</t>
  </si>
  <si>
    <t>PV Gara. HT</t>
  </si>
  <si>
    <t>TVA Actuel</t>
  </si>
  <si>
    <t>(3 + 4 + 420+430+440+441+475) TTC. . . . . . . . . . . . . . . . . . . . . . . . . . . . . . . . . . . . . . . . . . . .</t>
  </si>
  <si>
    <t>AHUP</t>
  </si>
  <si>
    <t>SHON Globale</t>
  </si>
  <si>
    <t>Surf. Terrain</t>
  </si>
  <si>
    <t>SHON Logt</t>
  </si>
  <si>
    <t>Prog.</t>
  </si>
  <si>
    <t xml:space="preserve">     S/T VRD</t>
  </si>
  <si>
    <t>Cout AU M2</t>
  </si>
  <si>
    <t>U = PV TTC - PV TTC Autres non soumis</t>
  </si>
  <si>
    <t>S = (1à5)TTC-8%(1à5)HT-TVA résid.</t>
  </si>
  <si>
    <t>T = (1 à 5) TTC - Const  TTC</t>
  </si>
  <si>
    <t>R = 441 HT</t>
  </si>
  <si>
    <t>Q = AU NBR DE GARAGE</t>
  </si>
  <si>
    <t>P = AU NBR DE LOT</t>
  </si>
  <si>
    <t>O = FONCIER AMENAGE TTC</t>
  </si>
  <si>
    <t>N = SURFACE HABITABLE</t>
  </si>
  <si>
    <t>V</t>
  </si>
  <si>
    <t>ACDEFHIOPV</t>
  </si>
  <si>
    <t>V = Base F avec un minimum de 1003 € / lot</t>
  </si>
  <si>
    <t>(3 + 4 + 420+430+440+441+475) TTC avec minimum 1003,00€ / lot . . . . . . . . . . . . . . . . . . . . . . . . . . . . . . . . . . . . . . .</t>
  </si>
  <si>
    <t>Signat. Actes</t>
  </si>
  <si>
    <t>SN</t>
  </si>
  <si>
    <t>Services marketing</t>
  </si>
  <si>
    <t>CVAE + Organic</t>
  </si>
  <si>
    <t>Ecart % C.A T.T.C</t>
  </si>
  <si>
    <t>PV TTC - 0,28% du CA TTC si SNC</t>
  </si>
  <si>
    <t>PV TTC - L'écart avec le calcul du PdT doit être &gt;= 0,5% du CA TTC</t>
  </si>
  <si>
    <t>Juridique + CAC</t>
  </si>
  <si>
    <t>Ecart</t>
  </si>
  <si>
    <t>k€</t>
  </si>
  <si>
    <t>%/CA TTC</t>
  </si>
  <si>
    <t>ABH</t>
  </si>
  <si>
    <t>0,25% du CA TTC en cas de vente en bloc</t>
  </si>
  <si>
    <t>Honoraires CAC</t>
  </si>
  <si>
    <t>Juridique</t>
  </si>
  <si>
    <t>PV TTC - 0,22% du CA TTC si SNC</t>
  </si>
  <si>
    <t>PV TTC</t>
  </si>
  <si>
    <t>Publicité nationale</t>
  </si>
  <si>
    <t>Publicité (Reg + Nat)</t>
  </si>
  <si>
    <t>Gestion des Prestations Clients / Protection Revente / Garantie Locative</t>
  </si>
  <si>
    <t>Nbr</t>
  </si>
  <si>
    <t>Dont</t>
  </si>
  <si>
    <t>Base</t>
  </si>
  <si>
    <t>Coût</t>
  </si>
  <si>
    <t>Lot</t>
  </si>
  <si>
    <t>Collectif</t>
  </si>
  <si>
    <t>Mandat</t>
  </si>
  <si>
    <t>Ventes en Bloc</t>
  </si>
  <si>
    <t>Ventes Résidences Gérées</t>
  </si>
  <si>
    <t>Ventes aux particuliers</t>
  </si>
  <si>
    <t>dont % en Primo accédants</t>
  </si>
  <si>
    <t>467 - Protection Revente</t>
  </si>
  <si>
    <t>dont % en Investisseurs</t>
  </si>
  <si>
    <t>466 - Garantie Locative</t>
  </si>
  <si>
    <t>Autres</t>
  </si>
  <si>
    <t>Prestations Clients</t>
  </si>
  <si>
    <t>Garantie Locative</t>
  </si>
  <si>
    <t>Protection Revente</t>
  </si>
  <si>
    <t>353 - Prestations Clients</t>
  </si>
  <si>
    <t>Version 8.0</t>
  </si>
  <si>
    <t>VERSION 8.0</t>
  </si>
  <si>
    <t>P.U. TTC</t>
  </si>
  <si>
    <t>(en €)</t>
  </si>
  <si>
    <t>(en k€)</t>
  </si>
  <si>
    <t>Individuel</t>
  </si>
  <si>
    <t>Montant</t>
  </si>
  <si>
    <t>Maison Individuelle</t>
  </si>
  <si>
    <t>ANNEXES</t>
  </si>
  <si>
    <t>Gestion des Honoraires Commerciaux</t>
  </si>
  <si>
    <t xml:space="preserve">C.A. TTC restant à répartir  </t>
  </si>
  <si>
    <t>Honoraires Interne 510</t>
  </si>
  <si>
    <t>Honoraires Externe 511</t>
  </si>
  <si>
    <t>Taux</t>
  </si>
  <si>
    <t xml:space="preserve">Taux </t>
  </si>
  <si>
    <t>Autres Cas</t>
  </si>
  <si>
    <t>Non Soumis</t>
  </si>
  <si>
    <t>Hon. Interne 510</t>
  </si>
  <si>
    <t>Hon. Externe 511</t>
  </si>
  <si>
    <t>Ventes</t>
  </si>
  <si>
    <t>Interne autre taux</t>
  </si>
  <si>
    <t>Patrimoine autre taux</t>
  </si>
  <si>
    <t>Externe</t>
  </si>
  <si>
    <t>Interne taux en cours</t>
  </si>
  <si>
    <t>Patrimoine taux en cours</t>
  </si>
  <si>
    <t>PV Autres</t>
  </si>
  <si>
    <t>JG</t>
  </si>
  <si>
    <t>Comptable</t>
  </si>
  <si>
    <t>BET Béton, VRD, fluides, CCTP/AO/EXE</t>
  </si>
  <si>
    <t>Commissions + frais de dossier</t>
  </si>
  <si>
    <t>Briscous</t>
  </si>
  <si>
    <t>M3</t>
  </si>
  <si>
    <t>M4</t>
  </si>
  <si>
    <t>Celliers</t>
  </si>
  <si>
    <t>Frais d'acte / Cuisine / Remise co</t>
  </si>
  <si>
    <t>par m² shab</t>
  </si>
  <si>
    <t>SUEZ + ENEDIS + TEL</t>
  </si>
  <si>
    <t>Tableau nadege</t>
  </si>
  <si>
    <t>bandes stériles + mur</t>
  </si>
  <si>
    <t>TS VRD/EV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</si>
</sst>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164" formatCode="0.00%;\-0.00%;"/>
    <numFmt numFmtId="165" formatCode="d/m/yy"/>
    <numFmt numFmtId="166" formatCode="0.0%"/>
    <numFmt numFmtId="167" formatCode="#,##0;\-#,##0;"/>
    <numFmt numFmtId="168" formatCode="0.0"/>
    <numFmt numFmtId="169" formatCode="#,##0.00;\-#,##0.00;"/>
    <numFmt numFmtId="170" formatCode="#,###;#,###;"/>
    <numFmt numFmtId="171" formatCode="0.00;\-0.00;"/>
    <numFmt numFmtId="172" formatCode="\ ;\ ;\ ;"/>
    <numFmt numFmtId="173" formatCode="0;;"/>
    <numFmt numFmtId="174" formatCode="0.00;;"/>
    <numFmt numFmtId="175" formatCode="mmm\-yy;;"/>
    <numFmt numFmtId="176" formatCode="0.00%;;"/>
    <numFmt numFmtId="177" formatCode="General;;"/>
    <numFmt numFmtId="178" formatCode="0.0%;;"/>
    <numFmt numFmtId="179" formatCode="#,##0.00;\-#,##0.00;0"/>
    <numFmt numFmtId="180" formatCode="General\ &quot;%&quot;;;"/>
    <numFmt numFmtId="181" formatCode="\ d/mm/yy\ &quot;à&quot;\ hh:mm"/>
    <numFmt numFmtId="182" formatCode="\ d/mm/yy\ \ hh:mm"/>
    <numFmt numFmtId="183" formatCode="&quot;à&quot;\ h:mm"/>
    <numFmt numFmtId="184" formatCode=";;;"/>
    <numFmt numFmtId="185" formatCode="General;;\.\."/>
    <numFmt numFmtId="186" formatCode="0%;;"/>
    <numFmt numFmtId="187" formatCode="General;;\ "/>
    <numFmt numFmtId="188" formatCode="General\ &quot;%&quot;;\-General\ &quot;%&quot;;"/>
    <numFmt numFmtId="189" formatCode="0%;\-0%;"/>
    <numFmt numFmtId="190" formatCode="&quot;VERSION &quot;\ 0.0"/>
    <numFmt numFmtId="191" formatCode="00&quot; VERSION &quot;\ 0.0"/>
    <numFmt numFmtId="192" formatCode="0.000"/>
    <numFmt numFmtId="193" formatCode="#,##0;\-#,##0;;"/>
    <numFmt numFmtId="194" formatCode="General;;&quot; &quot;"/>
    <numFmt numFmtId="195" formatCode="#,##0.00\ _€"/>
    <numFmt numFmtId="196" formatCode="#,##0.0"/>
    <numFmt numFmtId="197" formatCode="#,##0.0\ _€"/>
    <numFmt numFmtId="198" formatCode="0.000%"/>
    <numFmt numFmtId="199" formatCode="#,##0\ &quot;€&quot;"/>
  </numFmts>
  <fonts count="47">
    <font>
      <sz val="10"/>
      <name val="Geneva"/>
    </font>
    <font>
      <b/>
      <sz val="10"/>
      <name val="Geneva"/>
    </font>
    <font>
      <sz val="10"/>
      <name val="Geneva"/>
    </font>
    <font>
      <b/>
      <sz val="8"/>
      <name val="Times New Roman"/>
      <family val="1"/>
    </font>
    <font>
      <sz val="8"/>
      <name val="Times New Roman"/>
      <family val="1"/>
    </font>
    <font>
      <b/>
      <u/>
      <sz val="8"/>
      <name val="Times New Roman"/>
      <family val="1"/>
    </font>
    <font>
      <b/>
      <sz val="8"/>
      <color indexed="10"/>
      <name val="Times New Roman"/>
      <family val="1"/>
    </font>
    <font>
      <u/>
      <sz val="8"/>
      <name val="Times New Roman"/>
      <family val="1"/>
    </font>
    <font>
      <b/>
      <sz val="12"/>
      <name val="Geneva"/>
    </font>
    <font>
      <b/>
      <u/>
      <sz val="10"/>
      <name val="Geneva"/>
    </font>
    <font>
      <u/>
      <sz val="10"/>
      <name val="Geneva"/>
    </font>
    <font>
      <b/>
      <sz val="9"/>
      <name val="Geneva"/>
    </font>
    <font>
      <sz val="9"/>
      <name val="Geneva"/>
    </font>
    <font>
      <b/>
      <sz val="8"/>
      <name val="Times New Roman"/>
      <family val="1"/>
    </font>
    <font>
      <b/>
      <sz val="8"/>
      <color indexed="10"/>
      <name val="Times New Roman"/>
      <family val="1"/>
    </font>
    <font>
      <b/>
      <sz val="16"/>
      <name val="Times New Roman"/>
      <family val="1"/>
    </font>
    <font>
      <sz val="8"/>
      <name val="Geneva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color indexed="12"/>
      <name val="Times New Roman"/>
      <family val="1"/>
    </font>
    <font>
      <sz val="14"/>
      <name val="Times New Roman"/>
      <family val="1"/>
    </font>
    <font>
      <sz val="8"/>
      <name val="Times New Roman"/>
      <family val="1"/>
    </font>
    <font>
      <sz val="10"/>
      <name val="Avant Garde"/>
    </font>
    <font>
      <b/>
      <sz val="10"/>
      <name val="Avant Garde"/>
    </font>
    <font>
      <b/>
      <sz val="11"/>
      <name val="Geneva"/>
    </font>
    <font>
      <b/>
      <sz val="9"/>
      <name val="AvantGarde"/>
    </font>
    <font>
      <sz val="9"/>
      <name val="Avant Garde"/>
    </font>
    <font>
      <b/>
      <sz val="9"/>
      <name val="Avant Garde"/>
    </font>
    <font>
      <b/>
      <sz val="12"/>
      <name val="Avant Garde"/>
    </font>
    <font>
      <sz val="8"/>
      <name val="Avant Garde"/>
    </font>
    <font>
      <sz val="12"/>
      <name val="Avant Garde"/>
    </font>
    <font>
      <sz val="8"/>
      <color indexed="15"/>
      <name val="Times New Roman"/>
      <family val="1"/>
    </font>
    <font>
      <sz val="8"/>
      <color indexed="9"/>
      <name val="Times New Roman"/>
      <family val="1"/>
    </font>
    <font>
      <b/>
      <sz val="8"/>
      <name val="AvantGarde"/>
      <family val="2"/>
    </font>
    <font>
      <b/>
      <sz val="16"/>
      <name val="Avant Garde"/>
    </font>
    <font>
      <sz val="16"/>
      <name val="Avant Garde"/>
    </font>
    <font>
      <sz val="16"/>
      <name val="Times New Roman"/>
      <family val="1"/>
    </font>
    <font>
      <sz val="16"/>
      <name val="Geneva"/>
    </font>
  </fonts>
  <fills count="17">
    <fill>
      <patternFill patternType="none"/>
    </fill>
    <fill>
      <patternFill patternType="gray125"/>
    </fill>
    <fill>
      <patternFill patternType="mediumGray">
        <fgColor indexed="13"/>
        <bgColor indexed="13"/>
      </patternFill>
    </fill>
    <fill>
      <patternFill patternType="solid">
        <fgColor indexed="13"/>
        <bgColor indexed="13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11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11"/>
      </patternFill>
    </fill>
    <fill>
      <patternFill patternType="solid">
        <fgColor indexed="41"/>
        <bgColor indexed="15"/>
      </patternFill>
    </fill>
    <fill>
      <patternFill patternType="lightGray"/>
    </fill>
    <fill>
      <patternFill patternType="lightGray">
        <bgColor indexed="22"/>
      </patternFill>
    </fill>
    <fill>
      <patternFill patternType="gray125">
        <bgColor indexed="22"/>
      </patternFill>
    </fill>
  </fills>
  <borders count="1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horizontal="center"/>
    </xf>
    <xf numFmtId="9" fontId="2" fillId="0" borderId="0" applyFont="0" applyFill="0" applyBorder="0" applyAlignment="0" applyProtection="0"/>
  </cellStyleXfs>
  <cellXfs count="128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/>
    <xf numFmtId="164" fontId="4" fillId="0" borderId="2" xfId="0" applyNumberFormat="1" applyFont="1" applyBorder="1"/>
    <xf numFmtId="0" fontId="4" fillId="0" borderId="0" xfId="0" applyFont="1"/>
    <xf numFmtId="0" fontId="4" fillId="0" borderId="2" xfId="0" applyFont="1" applyBorder="1"/>
    <xf numFmtId="0" fontId="5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0" borderId="6" xfId="0" applyFont="1" applyBorder="1"/>
    <xf numFmtId="164" fontId="4" fillId="2" borderId="7" xfId="2" applyNumberFormat="1" applyFont="1" applyFill="1" applyBorder="1" applyProtection="1">
      <protection locked="0"/>
    </xf>
    <xf numFmtId="0" fontId="3" fillId="0" borderId="0" xfId="0" applyFont="1" applyAlignment="1">
      <alignment horizontal="left"/>
    </xf>
    <xf numFmtId="0" fontId="3" fillId="0" borderId="0" xfId="0" applyFont="1" applyProtection="1">
      <protection locked="0"/>
    </xf>
    <xf numFmtId="0" fontId="4" fillId="0" borderId="0" xfId="0" applyFont="1" applyAlignment="1">
      <alignment horizontal="center"/>
    </xf>
    <xf numFmtId="164" fontId="4" fillId="0" borderId="8" xfId="0" applyNumberFormat="1" applyFont="1" applyBorder="1"/>
    <xf numFmtId="0" fontId="4" fillId="0" borderId="0" xfId="0" applyFont="1" applyAlignment="1">
      <alignment horizontal="centerContinuous"/>
    </xf>
    <xf numFmtId="0" fontId="3" fillId="0" borderId="9" xfId="0" applyFont="1" applyBorder="1"/>
    <xf numFmtId="164" fontId="4" fillId="0" borderId="10" xfId="2" applyNumberFormat="1" applyFont="1" applyBorder="1"/>
    <xf numFmtId="3" fontId="4" fillId="0" borderId="0" xfId="0" applyNumberFormat="1" applyFont="1"/>
    <xf numFmtId="17" fontId="4" fillId="0" borderId="4" xfId="0" applyNumberFormat="1" applyFont="1" applyBorder="1" applyAlignment="1">
      <alignment horizontal="center"/>
    </xf>
    <xf numFmtId="17" fontId="4" fillId="0" borderId="11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1" xfId="0" applyFont="1" applyBorder="1"/>
    <xf numFmtId="10" fontId="4" fillId="0" borderId="8" xfId="2" applyNumberFormat="1" applyFont="1" applyBorder="1"/>
    <xf numFmtId="3" fontId="4" fillId="2" borderId="5" xfId="2" applyNumberFormat="1" applyFont="1" applyFill="1" applyBorder="1" applyAlignment="1" applyProtection="1">
      <alignment horizontal="center"/>
      <protection locked="0"/>
    </xf>
    <xf numFmtId="0" fontId="4" fillId="0" borderId="9" xfId="0" applyFont="1" applyBorder="1"/>
    <xf numFmtId="0" fontId="4" fillId="0" borderId="10" xfId="0" applyFont="1" applyBorder="1"/>
    <xf numFmtId="0" fontId="3" fillId="0" borderId="0" xfId="0" applyFont="1"/>
    <xf numFmtId="0" fontId="6" fillId="0" borderId="0" xfId="0" applyFont="1"/>
    <xf numFmtId="164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left"/>
    </xf>
    <xf numFmtId="0" fontId="4" fillId="0" borderId="5" xfId="0" applyFont="1" applyBorder="1"/>
    <xf numFmtId="3" fontId="4" fillId="0" borderId="12" xfId="0" applyNumberFormat="1" applyFont="1" applyBorder="1"/>
    <xf numFmtId="0" fontId="4" fillId="0" borderId="12" xfId="0" applyFont="1" applyBorder="1"/>
    <xf numFmtId="17" fontId="4" fillId="0" borderId="12" xfId="0" applyNumberFormat="1" applyFont="1" applyBorder="1"/>
    <xf numFmtId="10" fontId="4" fillId="0" borderId="0" xfId="2" applyNumberFormat="1" applyFont="1"/>
    <xf numFmtId="0" fontId="5" fillId="0" borderId="13" xfId="0" applyFont="1" applyBorder="1"/>
    <xf numFmtId="0" fontId="4" fillId="0" borderId="14" xfId="0" applyFont="1" applyBorder="1"/>
    <xf numFmtId="0" fontId="4" fillId="0" borderId="6" xfId="0" applyFont="1" applyBorder="1"/>
    <xf numFmtId="0" fontId="3" fillId="0" borderId="15" xfId="0" applyFont="1" applyBorder="1"/>
    <xf numFmtId="0" fontId="4" fillId="0" borderId="16" xfId="0" applyFont="1" applyBorder="1"/>
    <xf numFmtId="0" fontId="3" fillId="0" borderId="17" xfId="0" applyFont="1" applyBorder="1"/>
    <xf numFmtId="0" fontId="4" fillId="0" borderId="18" xfId="0" applyFont="1" applyBorder="1"/>
    <xf numFmtId="164" fontId="3" fillId="0" borderId="0" xfId="2" applyNumberFormat="1" applyFont="1" applyAlignment="1">
      <alignment horizontal="center"/>
    </xf>
    <xf numFmtId="0" fontId="7" fillId="0" borderId="14" xfId="0" applyFont="1" applyBorder="1"/>
    <xf numFmtId="166" fontId="4" fillId="0" borderId="1" xfId="2" applyNumberFormat="1" applyFont="1" applyBorder="1"/>
    <xf numFmtId="166" fontId="4" fillId="0" borderId="2" xfId="2" applyNumberFormat="1" applyFont="1" applyBorder="1"/>
    <xf numFmtId="166" fontId="4" fillId="2" borderId="5" xfId="2" applyNumberFormat="1" applyFont="1" applyFill="1" applyBorder="1" applyProtection="1">
      <protection locked="0"/>
    </xf>
    <xf numFmtId="0" fontId="3" fillId="0" borderId="15" xfId="0" applyFont="1" applyBorder="1" applyProtection="1">
      <protection locked="0"/>
    </xf>
    <xf numFmtId="164" fontId="4" fillId="2" borderId="0" xfId="2" applyNumberFormat="1" applyFont="1" applyFill="1" applyProtection="1">
      <protection locked="0"/>
    </xf>
    <xf numFmtId="166" fontId="4" fillId="0" borderId="19" xfId="2" applyNumberFormat="1" applyFont="1" applyBorder="1"/>
    <xf numFmtId="166" fontId="3" fillId="0" borderId="5" xfId="2" applyNumberFormat="1" applyFont="1" applyBorder="1" applyAlignment="1">
      <alignment horizontal="center"/>
    </xf>
    <xf numFmtId="166" fontId="4" fillId="0" borderId="20" xfId="2" applyNumberFormat="1" applyFont="1" applyBorder="1"/>
    <xf numFmtId="0" fontId="3" fillId="0" borderId="17" xfId="0" applyFont="1" applyBorder="1" applyProtection="1">
      <protection locked="0"/>
    </xf>
    <xf numFmtId="164" fontId="4" fillId="0" borderId="0" xfId="2" applyNumberFormat="1" applyFont="1"/>
    <xf numFmtId="17" fontId="4" fillId="0" borderId="0" xfId="0" applyNumberFormat="1" applyFont="1"/>
    <xf numFmtId="0" fontId="4" fillId="3" borderId="6" xfId="0" applyFont="1" applyFill="1" applyBorder="1" applyAlignment="1" applyProtection="1">
      <alignment horizontal="center"/>
      <protection locked="0"/>
    </xf>
    <xf numFmtId="0" fontId="3" fillId="0" borderId="3" xfId="0" applyFont="1" applyBorder="1"/>
    <xf numFmtId="17" fontId="4" fillId="0" borderId="0" xfId="1" applyNumberFormat="1" applyFont="1">
      <alignment horizontal="center"/>
    </xf>
    <xf numFmtId="0" fontId="5" fillId="0" borderId="15" xfId="0" applyFont="1" applyBorder="1"/>
    <xf numFmtId="0" fontId="7" fillId="0" borderId="16" xfId="0" applyFont="1" applyBorder="1"/>
    <xf numFmtId="9" fontId="4" fillId="2" borderId="3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9" fontId="4" fillId="2" borderId="9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4" borderId="0" xfId="0" applyFont="1" applyFill="1"/>
    <xf numFmtId="9" fontId="4" fillId="2" borderId="6" xfId="0" applyNumberFormat="1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0" fontId="3" fillId="0" borderId="13" xfId="0" applyFont="1" applyBorder="1"/>
    <xf numFmtId="164" fontId="4" fillId="0" borderId="0" xfId="0" applyNumberFormat="1" applyFont="1"/>
    <xf numFmtId="0" fontId="3" fillId="0" borderId="21" xfId="0" applyFont="1" applyBorder="1" applyProtection="1">
      <protection locked="0"/>
    </xf>
    <xf numFmtId="0" fontId="4" fillId="0" borderId="21" xfId="0" applyFont="1" applyBorder="1"/>
    <xf numFmtId="0" fontId="8" fillId="0" borderId="0" xfId="0" applyFont="1"/>
    <xf numFmtId="0" fontId="9" fillId="0" borderId="15" xfId="0" applyFont="1" applyBorder="1"/>
    <xf numFmtId="0" fontId="10" fillId="0" borderId="16" xfId="0" applyFont="1" applyBorder="1"/>
    <xf numFmtId="164" fontId="2" fillId="0" borderId="0" xfId="2" applyNumberFormat="1"/>
    <xf numFmtId="0" fontId="0" fillId="0" borderId="1" xfId="0" applyBorder="1"/>
    <xf numFmtId="0" fontId="0" fillId="0" borderId="8" xfId="0" applyBorder="1"/>
    <xf numFmtId="10" fontId="2" fillId="0" borderId="8" xfId="2" applyNumberFormat="1" applyBorder="1"/>
    <xf numFmtId="0" fontId="11" fillId="0" borderId="15" xfId="0" applyFont="1" applyBorder="1"/>
    <xf numFmtId="0" fontId="0" fillId="0" borderId="16" xfId="0" applyBorder="1"/>
    <xf numFmtId="0" fontId="9" fillId="0" borderId="13" xfId="0" applyFont="1" applyBorder="1"/>
    <xf numFmtId="0" fontId="10" fillId="0" borderId="14" xfId="0" applyFont="1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11" fillId="0" borderId="17" xfId="0" applyFont="1" applyBorder="1"/>
    <xf numFmtId="0" fontId="0" fillId="0" borderId="18" xfId="0" applyBorder="1"/>
    <xf numFmtId="0" fontId="0" fillId="0" borderId="6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166" fontId="2" fillId="0" borderId="1" xfId="2" applyNumberFormat="1" applyBorder="1"/>
    <xf numFmtId="166" fontId="2" fillId="0" borderId="2" xfId="2" applyNumberFormat="1" applyBorder="1"/>
    <xf numFmtId="166" fontId="2" fillId="0" borderId="19" xfId="2" applyNumberFormat="1" applyBorder="1"/>
    <xf numFmtId="166" fontId="1" fillId="0" borderId="5" xfId="2" applyNumberFormat="1" applyFont="1" applyBorder="1" applyAlignment="1">
      <alignment horizontal="center"/>
    </xf>
    <xf numFmtId="166" fontId="2" fillId="0" borderId="20" xfId="2" applyNumberFormat="1" applyBorder="1"/>
    <xf numFmtId="0" fontId="4" fillId="0" borderId="0" xfId="0" applyFont="1" applyProtection="1">
      <protection hidden="1"/>
    </xf>
    <xf numFmtId="0" fontId="13" fillId="0" borderId="1" xfId="0" applyFont="1" applyBorder="1"/>
    <xf numFmtId="164" fontId="12" fillId="0" borderId="0" xfId="2" applyNumberFormat="1" applyFont="1"/>
    <xf numFmtId="3" fontId="12" fillId="0" borderId="19" xfId="0" applyNumberFormat="1" applyFont="1" applyBorder="1"/>
    <xf numFmtId="3" fontId="12" fillId="0" borderId="22" xfId="0" applyNumberFormat="1" applyFont="1" applyBorder="1"/>
    <xf numFmtId="9" fontId="0" fillId="0" borderId="3" xfId="0" applyNumberFormat="1" applyBorder="1"/>
    <xf numFmtId="0" fontId="0" fillId="0" borderId="11" xfId="0" applyBorder="1"/>
    <xf numFmtId="9" fontId="0" fillId="0" borderId="9" xfId="0" applyNumberFormat="1" applyBorder="1"/>
    <xf numFmtId="0" fontId="0" fillId="0" borderId="10" xfId="0" applyBorder="1"/>
    <xf numFmtId="17" fontId="0" fillId="0" borderId="3" xfId="0" applyNumberFormat="1" applyBorder="1"/>
    <xf numFmtId="17" fontId="0" fillId="0" borderId="5" xfId="0" applyNumberFormat="1" applyBorder="1"/>
    <xf numFmtId="10" fontId="2" fillId="0" borderId="3" xfId="2" applyNumberFormat="1" applyBorder="1"/>
    <xf numFmtId="10" fontId="2" fillId="0" borderId="19" xfId="2" applyNumberFormat="1" applyBorder="1"/>
    <xf numFmtId="10" fontId="2" fillId="0" borderId="9" xfId="2" applyNumberFormat="1" applyBorder="1"/>
    <xf numFmtId="10" fontId="2" fillId="0" borderId="22" xfId="2" applyNumberFormat="1" applyBorder="1"/>
    <xf numFmtId="10" fontId="2" fillId="0" borderId="6" xfId="2" applyNumberFormat="1" applyBorder="1"/>
    <xf numFmtId="10" fontId="2" fillId="0" borderId="20" xfId="2" applyNumberFormat="1" applyBorder="1"/>
    <xf numFmtId="3" fontId="2" fillId="0" borderId="5" xfId="2" applyNumberFormat="1" applyBorder="1" applyAlignment="1">
      <alignment horizontal="center"/>
    </xf>
    <xf numFmtId="166" fontId="12" fillId="0" borderId="5" xfId="2" applyNumberFormat="1" applyFont="1" applyBorder="1"/>
    <xf numFmtId="0" fontId="14" fillId="0" borderId="0" xfId="0" applyFont="1"/>
    <xf numFmtId="17" fontId="4" fillId="0" borderId="0" xfId="1" applyNumberFormat="1" applyFont="1" applyProtection="1">
      <alignment horizontal="center"/>
      <protection locked="0"/>
    </xf>
    <xf numFmtId="3" fontId="4" fillId="0" borderId="0" xfId="0" applyNumberFormat="1" applyFont="1" applyProtection="1">
      <protection locked="0"/>
    </xf>
    <xf numFmtId="17" fontId="4" fillId="0" borderId="0" xfId="0" applyNumberFormat="1" applyFont="1" applyProtection="1">
      <protection locked="0"/>
    </xf>
    <xf numFmtId="0" fontId="3" fillId="0" borderId="23" xfId="0" applyFont="1" applyBorder="1"/>
    <xf numFmtId="0" fontId="4" fillId="0" borderId="24" xfId="0" applyFont="1" applyBorder="1"/>
    <xf numFmtId="0" fontId="3" fillId="0" borderId="25" xfId="0" applyFont="1" applyBorder="1"/>
    <xf numFmtId="0" fontId="13" fillId="0" borderId="0" xfId="0" applyFont="1"/>
    <xf numFmtId="0" fontId="4" fillId="0" borderId="26" xfId="0" applyFont="1" applyBorder="1"/>
    <xf numFmtId="0" fontId="4" fillId="0" borderId="0" xfId="0" applyFont="1" applyProtection="1">
      <protection locked="0"/>
    </xf>
    <xf numFmtId="0" fontId="18" fillId="0" borderId="0" xfId="0" applyFont="1"/>
    <xf numFmtId="37" fontId="19" fillId="5" borderId="27" xfId="0" applyNumberFormat="1" applyFont="1" applyFill="1" applyBorder="1" applyAlignment="1">
      <alignment vertical="center"/>
    </xf>
    <xf numFmtId="0" fontId="21" fillId="0" borderId="0" xfId="0" applyFont="1"/>
    <xf numFmtId="0" fontId="20" fillId="0" borderId="0" xfId="0" applyFont="1"/>
    <xf numFmtId="0" fontId="20" fillId="6" borderId="0" xfId="0" applyFont="1" applyFill="1"/>
    <xf numFmtId="0" fontId="22" fillId="0" borderId="0" xfId="0" applyFont="1"/>
    <xf numFmtId="0" fontId="20" fillId="0" borderId="23" xfId="0" applyFont="1" applyBorder="1"/>
    <xf numFmtId="0" fontId="20" fillId="0" borderId="26" xfId="0" applyFont="1" applyBorder="1"/>
    <xf numFmtId="0" fontId="20" fillId="0" borderId="24" xfId="0" applyFont="1" applyBorder="1"/>
    <xf numFmtId="3" fontId="20" fillId="0" borderId="0" xfId="0" applyNumberFormat="1" applyFont="1"/>
    <xf numFmtId="3" fontId="20" fillId="0" borderId="0" xfId="2" applyNumberFormat="1" applyFont="1"/>
    <xf numFmtId="3" fontId="20" fillId="0" borderId="0" xfId="2" applyNumberFormat="1" applyFont="1" applyAlignment="1">
      <alignment horizontal="left"/>
    </xf>
    <xf numFmtId="17" fontId="20" fillId="0" borderId="28" xfId="1" applyNumberFormat="1" applyFont="1" applyBorder="1">
      <alignment horizontal="center"/>
    </xf>
    <xf numFmtId="17" fontId="20" fillId="0" borderId="5" xfId="1" applyNumberFormat="1" applyFont="1" applyBorder="1">
      <alignment horizontal="center"/>
    </xf>
    <xf numFmtId="164" fontId="21" fillId="0" borderId="0" xfId="2" applyNumberFormat="1" applyFont="1" applyAlignment="1">
      <alignment horizontal="left"/>
    </xf>
    <xf numFmtId="3" fontId="20" fillId="0" borderId="5" xfId="0" applyNumberFormat="1" applyFont="1" applyBorder="1" applyAlignment="1">
      <alignment horizontal="center"/>
    </xf>
    <xf numFmtId="3" fontId="20" fillId="0" borderId="5" xfId="2" applyNumberFormat="1" applyFont="1" applyBorder="1" applyAlignment="1">
      <alignment horizontal="center"/>
    </xf>
    <xf numFmtId="3" fontId="20" fillId="0" borderId="0" xfId="2" applyNumberFormat="1" applyFont="1" applyAlignment="1">
      <alignment horizontal="center"/>
    </xf>
    <xf numFmtId="0" fontId="20" fillId="0" borderId="29" xfId="0" applyFont="1" applyBorder="1"/>
    <xf numFmtId="0" fontId="20" fillId="0" borderId="19" xfId="0" applyFont="1" applyBorder="1"/>
    <xf numFmtId="0" fontId="23" fillId="0" borderId="13" xfId="0" applyFont="1" applyBorder="1"/>
    <xf numFmtId="0" fontId="24" fillId="0" borderId="14" xfId="0" applyFont="1" applyBorder="1"/>
    <xf numFmtId="164" fontId="21" fillId="0" borderId="0" xfId="2" applyNumberFormat="1" applyFont="1" applyAlignment="1">
      <alignment horizontal="center"/>
    </xf>
    <xf numFmtId="0" fontId="20" fillId="0" borderId="22" xfId="0" applyFont="1" applyBorder="1"/>
    <xf numFmtId="167" fontId="20" fillId="0" borderId="29" xfId="0" applyNumberFormat="1" applyFont="1" applyBorder="1"/>
    <xf numFmtId="167" fontId="20" fillId="0" borderId="19" xfId="0" applyNumberFormat="1" applyFont="1" applyBorder="1"/>
    <xf numFmtId="0" fontId="21" fillId="0" borderId="15" xfId="0" applyFont="1" applyBorder="1"/>
    <xf numFmtId="0" fontId="20" fillId="0" borderId="16" xfId="0" applyFont="1" applyBorder="1"/>
    <xf numFmtId="164" fontId="20" fillId="0" borderId="0" xfId="2" applyNumberFormat="1" applyFont="1"/>
    <xf numFmtId="17" fontId="20" fillId="0" borderId="30" xfId="1" applyNumberFormat="1" applyFont="1" applyBorder="1">
      <alignment horizontal="center"/>
    </xf>
    <xf numFmtId="3" fontId="20" fillId="0" borderId="31" xfId="0" applyNumberFormat="1" applyFont="1" applyBorder="1"/>
    <xf numFmtId="17" fontId="20" fillId="0" borderId="13" xfId="1" applyNumberFormat="1" applyFont="1" applyBorder="1">
      <alignment horizontal="center"/>
    </xf>
    <xf numFmtId="17" fontId="20" fillId="0" borderId="30" xfId="0" applyNumberFormat="1" applyFont="1" applyBorder="1"/>
    <xf numFmtId="3" fontId="20" fillId="6" borderId="0" xfId="0" applyNumberFormat="1" applyFont="1" applyFill="1"/>
    <xf numFmtId="0" fontId="20" fillId="0" borderId="13" xfId="0" applyFont="1" applyBorder="1"/>
    <xf numFmtId="0" fontId="20" fillId="0" borderId="32" xfId="0" applyFont="1" applyBorder="1"/>
    <xf numFmtId="0" fontId="20" fillId="0" borderId="14" xfId="0" applyFont="1" applyBorder="1"/>
    <xf numFmtId="3" fontId="20" fillId="0" borderId="22" xfId="0" applyNumberFormat="1" applyFont="1" applyBorder="1"/>
    <xf numFmtId="3" fontId="20" fillId="0" borderId="22" xfId="2" applyNumberFormat="1" applyFont="1" applyBorder="1"/>
    <xf numFmtId="167" fontId="20" fillId="0" borderId="33" xfId="0" applyNumberFormat="1" applyFont="1" applyBorder="1"/>
    <xf numFmtId="167" fontId="20" fillId="0" borderId="22" xfId="0" applyNumberFormat="1" applyFont="1" applyBorder="1"/>
    <xf numFmtId="17" fontId="20" fillId="0" borderId="34" xfId="1" applyNumberFormat="1" applyFont="1" applyBorder="1">
      <alignment horizontal="center"/>
    </xf>
    <xf numFmtId="3" fontId="20" fillId="0" borderId="35" xfId="0" applyNumberFormat="1" applyFont="1" applyBorder="1"/>
    <xf numFmtId="17" fontId="20" fillId="0" borderId="15" xfId="1" applyNumberFormat="1" applyFont="1" applyBorder="1">
      <alignment horizontal="center"/>
    </xf>
    <xf numFmtId="17" fontId="20" fillId="0" borderId="34" xfId="0" applyNumberFormat="1" applyFont="1" applyBorder="1"/>
    <xf numFmtId="0" fontId="20" fillId="0" borderId="15" xfId="0" applyFont="1" applyBorder="1"/>
    <xf numFmtId="0" fontId="21" fillId="0" borderId="17" xfId="0" applyFont="1" applyBorder="1"/>
    <xf numFmtId="0" fontId="20" fillId="0" borderId="18" xfId="0" applyFont="1" applyBorder="1"/>
    <xf numFmtId="17" fontId="20" fillId="0" borderId="36" xfId="1" applyNumberFormat="1" applyFont="1" applyBorder="1">
      <alignment horizontal="center"/>
    </xf>
    <xf numFmtId="3" fontId="20" fillId="0" borderId="37" xfId="0" applyNumberFormat="1" applyFont="1" applyBorder="1"/>
    <xf numFmtId="17" fontId="20" fillId="0" borderId="17" xfId="1" applyNumberFormat="1" applyFont="1" applyBorder="1">
      <alignment horizontal="center"/>
    </xf>
    <xf numFmtId="17" fontId="20" fillId="0" borderId="36" xfId="0" applyNumberFormat="1" applyFont="1" applyBorder="1"/>
    <xf numFmtId="0" fontId="20" fillId="0" borderId="17" xfId="0" applyFont="1" applyBorder="1"/>
    <xf numFmtId="0" fontId="20" fillId="0" borderId="38" xfId="0" applyFont="1" applyBorder="1"/>
    <xf numFmtId="17" fontId="20" fillId="0" borderId="0" xfId="0" applyNumberFormat="1" applyFont="1"/>
    <xf numFmtId="17" fontId="20" fillId="0" borderId="39" xfId="1" applyNumberFormat="1" applyFont="1" applyBorder="1">
      <alignment horizontal="center"/>
    </xf>
    <xf numFmtId="17" fontId="20" fillId="0" borderId="9" xfId="1" applyNumberFormat="1" applyFont="1" applyBorder="1">
      <alignment horizontal="center"/>
    </xf>
    <xf numFmtId="0" fontId="21" fillId="0" borderId="38" xfId="0" applyFont="1" applyBorder="1"/>
    <xf numFmtId="17" fontId="20" fillId="0" borderId="40" xfId="1" applyNumberFormat="1" applyFont="1" applyBorder="1">
      <alignment horizontal="center"/>
    </xf>
    <xf numFmtId="167" fontId="20" fillId="0" borderId="41" xfId="0" applyNumberFormat="1" applyFont="1" applyBorder="1"/>
    <xf numFmtId="167" fontId="20" fillId="0" borderId="20" xfId="0" applyNumberFormat="1" applyFont="1" applyBorder="1"/>
    <xf numFmtId="17" fontId="20" fillId="0" borderId="0" xfId="1" applyNumberFormat="1" applyFont="1">
      <alignment horizontal="center"/>
    </xf>
    <xf numFmtId="166" fontId="20" fillId="0" borderId="1" xfId="2" applyNumberFormat="1" applyFont="1" applyBorder="1"/>
    <xf numFmtId="166" fontId="20" fillId="0" borderId="2" xfId="2" applyNumberFormat="1" applyFont="1" applyBorder="1"/>
    <xf numFmtId="166" fontId="22" fillId="0" borderId="5" xfId="2" applyNumberFormat="1" applyFont="1" applyBorder="1"/>
    <xf numFmtId="166" fontId="22" fillId="0" borderId="0" xfId="2" applyNumberFormat="1" applyFont="1"/>
    <xf numFmtId="166" fontId="20" fillId="0" borderId="0" xfId="2" applyNumberFormat="1" applyFont="1" applyAlignment="1">
      <alignment horizontal="center"/>
    </xf>
    <xf numFmtId="166" fontId="20" fillId="0" borderId="0" xfId="2" applyNumberFormat="1" applyFont="1"/>
    <xf numFmtId="166" fontId="20" fillId="0" borderId="1" xfId="2" applyNumberFormat="1" applyFont="1" applyBorder="1" applyAlignment="1">
      <alignment horizontal="left"/>
    </xf>
    <xf numFmtId="166" fontId="22" fillId="0" borderId="5" xfId="2" applyNumberFormat="1" applyFont="1" applyBorder="1" applyAlignment="1">
      <alignment horizontal="center"/>
    </xf>
    <xf numFmtId="166" fontId="21" fillId="0" borderId="0" xfId="2" applyNumberFormat="1" applyFont="1"/>
    <xf numFmtId="166" fontId="22" fillId="6" borderId="0" xfId="2" applyNumberFormat="1" applyFont="1" applyFill="1"/>
    <xf numFmtId="166" fontId="20" fillId="0" borderId="2" xfId="2" applyNumberFormat="1" applyFont="1" applyBorder="1" applyAlignment="1">
      <alignment horizontal="center"/>
    </xf>
    <xf numFmtId="3" fontId="21" fillId="0" borderId="22" xfId="2" applyNumberFormat="1" applyFont="1" applyBorder="1"/>
    <xf numFmtId="3" fontId="21" fillId="0" borderId="0" xfId="2" applyNumberFormat="1" applyFont="1"/>
    <xf numFmtId="167" fontId="20" fillId="0" borderId="33" xfId="2" applyNumberFormat="1" applyFont="1" applyBorder="1"/>
    <xf numFmtId="167" fontId="20" fillId="0" borderId="22" xfId="2" applyNumberFormat="1" applyFont="1" applyBorder="1"/>
    <xf numFmtId="166" fontId="21" fillId="0" borderId="15" xfId="2" applyNumberFormat="1" applyFont="1" applyBorder="1"/>
    <xf numFmtId="166" fontId="20" fillId="0" borderId="16" xfId="2" applyNumberFormat="1" applyFont="1" applyBorder="1"/>
    <xf numFmtId="0" fontId="20" fillId="0" borderId="0" xfId="0" applyFont="1" applyAlignment="1">
      <alignment horizontal="center"/>
    </xf>
    <xf numFmtId="0" fontId="20" fillId="0" borderId="5" xfId="0" applyFont="1" applyBorder="1"/>
    <xf numFmtId="0" fontId="20" fillId="0" borderId="1" xfId="0" applyFont="1" applyBorder="1"/>
    <xf numFmtId="0" fontId="20" fillId="0" borderId="8" xfId="0" applyFont="1" applyBorder="1" applyAlignment="1">
      <alignment horizontal="center"/>
    </xf>
    <xf numFmtId="0" fontId="20" fillId="0" borderId="2" xfId="0" applyFont="1" applyBorder="1"/>
    <xf numFmtId="3" fontId="20" fillId="0" borderId="22" xfId="2" applyNumberFormat="1" applyFont="1" applyBorder="1" applyAlignment="1">
      <alignment horizontal="center"/>
    </xf>
    <xf numFmtId="167" fontId="20" fillId="0" borderId="41" xfId="2" applyNumberFormat="1" applyFont="1" applyBorder="1"/>
    <xf numFmtId="167" fontId="20" fillId="0" borderId="20" xfId="2" applyNumberFormat="1" applyFont="1" applyBorder="1"/>
    <xf numFmtId="0" fontId="21" fillId="0" borderId="16" xfId="0" applyFont="1" applyBorder="1"/>
    <xf numFmtId="0" fontId="20" fillId="0" borderId="5" xfId="0" applyFont="1" applyBorder="1" applyAlignment="1">
      <alignment horizontal="center"/>
    </xf>
    <xf numFmtId="0" fontId="20" fillId="6" borderId="0" xfId="0" applyFont="1" applyFill="1" applyAlignment="1">
      <alignment horizontal="center"/>
    </xf>
    <xf numFmtId="17" fontId="21" fillId="6" borderId="1" xfId="0" quotePrefix="1" applyNumberFormat="1" applyFont="1" applyFill="1" applyBorder="1" applyAlignment="1">
      <alignment horizontal="left"/>
    </xf>
    <xf numFmtId="3" fontId="20" fillId="0" borderId="19" xfId="0" applyNumberFormat="1" applyFont="1" applyBorder="1"/>
    <xf numFmtId="17" fontId="20" fillId="0" borderId="4" xfId="0" applyNumberFormat="1" applyFont="1" applyBorder="1" applyAlignment="1">
      <alignment horizontal="center"/>
    </xf>
    <xf numFmtId="17" fontId="20" fillId="0" borderId="11" xfId="0" applyNumberFormat="1" applyFont="1" applyBorder="1" applyAlignment="1">
      <alignment horizontal="center"/>
    </xf>
    <xf numFmtId="0" fontId="20" fillId="0" borderId="9" xfId="0" applyFont="1" applyBorder="1"/>
    <xf numFmtId="17" fontId="20" fillId="0" borderId="10" xfId="0" applyNumberFormat="1" applyFont="1" applyBorder="1"/>
    <xf numFmtId="1" fontId="20" fillId="0" borderId="2" xfId="0" applyNumberFormat="1" applyFont="1" applyBorder="1" applyAlignment="1">
      <alignment horizontal="center"/>
    </xf>
    <xf numFmtId="1" fontId="20" fillId="0" borderId="5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1" fontId="20" fillId="0" borderId="0" xfId="0" applyNumberFormat="1" applyFont="1"/>
    <xf numFmtId="1" fontId="20" fillId="0" borderId="10" xfId="0" applyNumberFormat="1" applyFont="1" applyBorder="1"/>
    <xf numFmtId="2" fontId="20" fillId="0" borderId="0" xfId="0" applyNumberFormat="1" applyFont="1"/>
    <xf numFmtId="164" fontId="20" fillId="0" borderId="5" xfId="0" applyNumberFormat="1" applyFont="1" applyBorder="1" applyAlignment="1">
      <alignment horizontal="center"/>
    </xf>
    <xf numFmtId="3" fontId="20" fillId="0" borderId="5" xfId="0" applyNumberFormat="1" applyFont="1" applyBorder="1"/>
    <xf numFmtId="17" fontId="20" fillId="0" borderId="5" xfId="0" applyNumberFormat="1" applyFont="1" applyBorder="1"/>
    <xf numFmtId="10" fontId="20" fillId="0" borderId="5" xfId="0" applyNumberFormat="1" applyFont="1" applyBorder="1"/>
    <xf numFmtId="3" fontId="20" fillId="0" borderId="9" xfId="0" applyNumberFormat="1" applyFont="1" applyBorder="1"/>
    <xf numFmtId="3" fontId="20" fillId="0" borderId="6" xfId="0" applyNumberFormat="1" applyFont="1" applyBorder="1"/>
    <xf numFmtId="0" fontId="20" fillId="0" borderId="12" xfId="0" applyFont="1" applyBorder="1"/>
    <xf numFmtId="1" fontId="20" fillId="0" borderId="12" xfId="0" applyNumberFormat="1" applyFont="1" applyBorder="1"/>
    <xf numFmtId="1" fontId="20" fillId="0" borderId="7" xfId="0" applyNumberFormat="1" applyFont="1" applyBorder="1"/>
    <xf numFmtId="0" fontId="20" fillId="0" borderId="20" xfId="0" applyFont="1" applyBorder="1"/>
    <xf numFmtId="0" fontId="20" fillId="0" borderId="12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17" fontId="20" fillId="6" borderId="0" xfId="0" quotePrefix="1" applyNumberFormat="1" applyFont="1" applyFill="1" applyAlignment="1">
      <alignment horizontal="left"/>
    </xf>
    <xf numFmtId="1" fontId="20" fillId="0" borderId="0" xfId="2" applyNumberFormat="1" applyFont="1"/>
    <xf numFmtId="0" fontId="20" fillId="0" borderId="12" xfId="0" applyFont="1" applyBorder="1" applyAlignment="1">
      <alignment horizontal="right"/>
    </xf>
    <xf numFmtId="17" fontId="20" fillId="0" borderId="19" xfId="1" applyNumberFormat="1" applyFont="1" applyBorder="1">
      <alignment horizontal="center"/>
    </xf>
    <xf numFmtId="3" fontId="20" fillId="0" borderId="3" xfId="0" applyNumberFormat="1" applyFont="1" applyBorder="1"/>
    <xf numFmtId="17" fontId="20" fillId="0" borderId="3" xfId="1" applyNumberFormat="1" applyFont="1" applyBorder="1">
      <alignment horizontal="center"/>
    </xf>
    <xf numFmtId="17" fontId="20" fillId="0" borderId="19" xfId="0" applyNumberFormat="1" applyFont="1" applyBorder="1"/>
    <xf numFmtId="17" fontId="20" fillId="0" borderId="22" xfId="1" applyNumberFormat="1" applyFont="1" applyBorder="1">
      <alignment horizontal="center"/>
    </xf>
    <xf numFmtId="17" fontId="20" fillId="0" borderId="22" xfId="0" applyNumberFormat="1" applyFont="1" applyBorder="1"/>
    <xf numFmtId="17" fontId="20" fillId="0" borderId="20" xfId="1" applyNumberFormat="1" applyFont="1" applyBorder="1">
      <alignment horizontal="center"/>
    </xf>
    <xf numFmtId="17" fontId="20" fillId="0" borderId="6" xfId="1" applyNumberFormat="1" applyFont="1" applyBorder="1">
      <alignment horizontal="center"/>
    </xf>
    <xf numFmtId="3" fontId="20" fillId="0" borderId="20" xfId="0" applyNumberFormat="1" applyFont="1" applyBorder="1"/>
    <xf numFmtId="17" fontId="20" fillId="0" borderId="20" xfId="0" applyNumberFormat="1" applyFont="1" applyBorder="1"/>
    <xf numFmtId="0" fontId="23" fillId="0" borderId="15" xfId="0" applyFont="1" applyBorder="1"/>
    <xf numFmtId="0" fontId="24" fillId="0" borderId="16" xfId="0" applyFont="1" applyBorder="1"/>
    <xf numFmtId="9" fontId="20" fillId="0" borderId="3" xfId="0" applyNumberFormat="1" applyFont="1" applyBorder="1"/>
    <xf numFmtId="0" fontId="20" fillId="0" borderId="11" xfId="0" applyFont="1" applyBorder="1"/>
    <xf numFmtId="0" fontId="20" fillId="0" borderId="13" xfId="1" applyFont="1" applyBorder="1">
      <alignment horizontal="center"/>
    </xf>
    <xf numFmtId="3" fontId="20" fillId="0" borderId="42" xfId="0" applyNumberFormat="1" applyFont="1" applyBorder="1"/>
    <xf numFmtId="0" fontId="20" fillId="0" borderId="39" xfId="0" applyFont="1" applyBorder="1"/>
    <xf numFmtId="3" fontId="20" fillId="0" borderId="32" xfId="0" applyNumberFormat="1" applyFont="1" applyBorder="1"/>
    <xf numFmtId="0" fontId="20" fillId="0" borderId="42" xfId="1" applyFont="1" applyBorder="1">
      <alignment horizontal="center"/>
    </xf>
    <xf numFmtId="3" fontId="20" fillId="0" borderId="14" xfId="0" applyNumberFormat="1" applyFont="1" applyBorder="1"/>
    <xf numFmtId="9" fontId="20" fillId="0" borderId="9" xfId="0" applyNumberFormat="1" applyFont="1" applyBorder="1"/>
    <xf numFmtId="0" fontId="20" fillId="0" borderId="10" xfId="0" applyFont="1" applyBorder="1"/>
    <xf numFmtId="0" fontId="20" fillId="0" borderId="15" xfId="1" applyFont="1" applyBorder="1">
      <alignment horizontal="center"/>
    </xf>
    <xf numFmtId="3" fontId="20" fillId="0" borderId="10" xfId="0" applyNumberFormat="1" applyFont="1" applyBorder="1"/>
    <xf numFmtId="0" fontId="20" fillId="0" borderId="10" xfId="1" applyFont="1" applyBorder="1">
      <alignment horizontal="center"/>
    </xf>
    <xf numFmtId="3" fontId="20" fillId="0" borderId="16" xfId="0" applyNumberFormat="1" applyFont="1" applyBorder="1"/>
    <xf numFmtId="9" fontId="20" fillId="0" borderId="6" xfId="0" applyNumberFormat="1" applyFont="1" applyBorder="1"/>
    <xf numFmtId="0" fontId="20" fillId="0" borderId="7" xfId="0" applyFont="1" applyBorder="1"/>
    <xf numFmtId="0" fontId="20" fillId="0" borderId="17" xfId="1" applyFont="1" applyBorder="1">
      <alignment horizontal="center"/>
    </xf>
    <xf numFmtId="3" fontId="20" fillId="0" borderId="43" xfId="0" applyNumberFormat="1" applyFont="1" applyBorder="1"/>
    <xf numFmtId="0" fontId="20" fillId="0" borderId="40" xfId="0" applyFont="1" applyBorder="1"/>
    <xf numFmtId="3" fontId="20" fillId="0" borderId="38" xfId="0" applyNumberFormat="1" applyFont="1" applyBorder="1"/>
    <xf numFmtId="0" fontId="20" fillId="0" borderId="43" xfId="1" applyFont="1" applyBorder="1">
      <alignment horizontal="center"/>
    </xf>
    <xf numFmtId="3" fontId="20" fillId="0" borderId="18" xfId="0" applyNumberFormat="1" applyFont="1" applyBorder="1"/>
    <xf numFmtId="0" fontId="20" fillId="4" borderId="0" xfId="0" applyFont="1" applyFill="1"/>
    <xf numFmtId="0" fontId="21" fillId="0" borderId="13" xfId="0" applyFont="1" applyBorder="1"/>
    <xf numFmtId="0" fontId="20" fillId="0" borderId="0" xfId="1" applyFont="1">
      <alignment horizontal="center"/>
    </xf>
    <xf numFmtId="0" fontId="21" fillId="0" borderId="5" xfId="0" applyFont="1" applyBorder="1" applyAlignment="1">
      <alignment horizontal="center"/>
    </xf>
    <xf numFmtId="3" fontId="20" fillId="0" borderId="5" xfId="2" applyNumberFormat="1" applyFont="1" applyBorder="1"/>
    <xf numFmtId="164" fontId="20" fillId="0" borderId="0" xfId="0" applyNumberFormat="1" applyFont="1"/>
    <xf numFmtId="0" fontId="20" fillId="0" borderId="44" xfId="0" applyFont="1" applyBorder="1" applyAlignment="1">
      <alignment horizontal="centerContinuous"/>
    </xf>
    <xf numFmtId="0" fontId="20" fillId="0" borderId="45" xfId="0" applyFont="1" applyBorder="1" applyAlignment="1">
      <alignment horizontal="centerContinuous"/>
    </xf>
    <xf numFmtId="0" fontId="20" fillId="0" borderId="46" xfId="0" applyFont="1" applyBorder="1" applyAlignment="1">
      <alignment horizontal="centerContinuous"/>
    </xf>
    <xf numFmtId="0" fontId="21" fillId="0" borderId="15" xfId="0" applyFont="1" applyBorder="1" applyAlignment="1">
      <alignment horizontal="left"/>
    </xf>
    <xf numFmtId="0" fontId="21" fillId="0" borderId="16" xfId="0" applyFont="1" applyBorder="1" applyAlignment="1">
      <alignment horizontal="right"/>
    </xf>
    <xf numFmtId="0" fontId="20" fillId="6" borderId="5" xfId="0" applyFont="1" applyFill="1" applyBorder="1"/>
    <xf numFmtId="0" fontId="20" fillId="0" borderId="1" xfId="0" applyFont="1" applyBorder="1" applyAlignment="1">
      <alignment horizontal="left"/>
    </xf>
    <xf numFmtId="0" fontId="20" fillId="0" borderId="47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20" fillId="0" borderId="48" xfId="0" applyFont="1" applyBorder="1" applyAlignment="1">
      <alignment horizontal="center"/>
    </xf>
    <xf numFmtId="3" fontId="20" fillId="0" borderId="49" xfId="0" applyNumberFormat="1" applyFont="1" applyBorder="1"/>
    <xf numFmtId="3" fontId="20" fillId="0" borderId="50" xfId="0" applyNumberFormat="1" applyFont="1" applyBorder="1"/>
    <xf numFmtId="3" fontId="20" fillId="0" borderId="51" xfId="0" applyNumberFormat="1" applyFont="1" applyBorder="1"/>
    <xf numFmtId="1" fontId="20" fillId="0" borderId="0" xfId="2" applyNumberFormat="1" applyFont="1" applyAlignment="1">
      <alignment horizontal="center"/>
    </xf>
    <xf numFmtId="0" fontId="20" fillId="0" borderId="52" xfId="0" applyFont="1" applyBorder="1" applyAlignment="1">
      <alignment horizontal="centerContinuous"/>
    </xf>
    <xf numFmtId="0" fontId="20" fillId="0" borderId="8" xfId="0" applyFont="1" applyBorder="1"/>
    <xf numFmtId="10" fontId="20" fillId="0" borderId="8" xfId="2" applyNumberFormat="1" applyFont="1" applyBorder="1"/>
    <xf numFmtId="0" fontId="20" fillId="0" borderId="0" xfId="0" applyFont="1" applyAlignment="1">
      <alignment horizontal="left"/>
    </xf>
    <xf numFmtId="0" fontId="20" fillId="6" borderId="0" xfId="0" applyFont="1" applyFill="1" applyAlignment="1">
      <alignment horizontal="left"/>
    </xf>
    <xf numFmtId="10" fontId="20" fillId="0" borderId="0" xfId="2" applyNumberFormat="1" applyFont="1"/>
    <xf numFmtId="0" fontId="21" fillId="0" borderId="23" xfId="0" applyFont="1" applyBorder="1"/>
    <xf numFmtId="167" fontId="20" fillId="0" borderId="28" xfId="0" applyNumberFormat="1" applyFont="1" applyBorder="1"/>
    <xf numFmtId="167" fontId="20" fillId="0" borderId="5" xfId="0" applyNumberFormat="1" applyFont="1" applyBorder="1"/>
    <xf numFmtId="164" fontId="21" fillId="0" borderId="0" xfId="0" applyNumberFormat="1" applyFont="1"/>
    <xf numFmtId="0" fontId="20" fillId="0" borderId="3" xfId="0" applyFont="1" applyBorder="1"/>
    <xf numFmtId="17" fontId="20" fillId="0" borderId="30" xfId="1" applyNumberFormat="1" applyFont="1" applyBorder="1" applyProtection="1">
      <alignment horizontal="center"/>
      <protection locked="0"/>
    </xf>
    <xf numFmtId="10" fontId="22" fillId="0" borderId="31" xfId="0" applyNumberFormat="1" applyFont="1" applyBorder="1" applyProtection="1">
      <protection locked="0"/>
    </xf>
    <xf numFmtId="17" fontId="20" fillId="0" borderId="13" xfId="1" applyNumberFormat="1" applyFont="1" applyBorder="1" applyProtection="1">
      <alignment horizontal="center"/>
      <protection locked="0"/>
    </xf>
    <xf numFmtId="10" fontId="20" fillId="0" borderId="31" xfId="0" applyNumberFormat="1" applyFont="1" applyBorder="1" applyProtection="1">
      <protection locked="0"/>
    </xf>
    <xf numFmtId="17" fontId="20" fillId="0" borderId="30" xfId="0" applyNumberFormat="1" applyFont="1" applyBorder="1" applyProtection="1">
      <protection locked="0"/>
    </xf>
    <xf numFmtId="0" fontId="20" fillId="0" borderId="13" xfId="0" applyFont="1" applyBorder="1" applyAlignment="1">
      <alignment horizontal="centerContinuous"/>
    </xf>
    <xf numFmtId="0" fontId="20" fillId="0" borderId="32" xfId="0" applyFont="1" applyBorder="1" applyAlignment="1">
      <alignment horizontal="centerContinuous"/>
    </xf>
    <xf numFmtId="0" fontId="20" fillId="0" borderId="14" xfId="0" applyFont="1" applyBorder="1" applyAlignment="1">
      <alignment horizontal="centerContinuous"/>
    </xf>
    <xf numFmtId="0" fontId="20" fillId="0" borderId="13" xfId="0" applyFont="1" applyBorder="1" applyAlignment="1">
      <alignment horizontal="left"/>
    </xf>
    <xf numFmtId="0" fontId="21" fillId="0" borderId="9" xfId="0" applyFont="1" applyBorder="1"/>
    <xf numFmtId="0" fontId="20" fillId="0" borderId="6" xfId="0" applyFont="1" applyBorder="1" applyAlignment="1">
      <alignment horizontal="center"/>
    </xf>
    <xf numFmtId="17" fontId="20" fillId="0" borderId="36" xfId="1" applyNumberFormat="1" applyFont="1" applyBorder="1" applyProtection="1">
      <alignment horizontal="center"/>
      <protection locked="0"/>
    </xf>
    <xf numFmtId="10" fontId="20" fillId="0" borderId="37" xfId="0" applyNumberFormat="1" applyFont="1" applyBorder="1" applyProtection="1">
      <protection locked="0"/>
    </xf>
    <xf numFmtId="17" fontId="20" fillId="0" borderId="17" xfId="1" applyNumberFormat="1" applyFont="1" applyBorder="1" applyProtection="1">
      <alignment horizontal="center"/>
      <protection locked="0"/>
    </xf>
    <xf numFmtId="17" fontId="20" fillId="0" borderId="36" xfId="0" applyNumberFormat="1" applyFont="1" applyBorder="1" applyProtection="1">
      <protection locked="0"/>
    </xf>
    <xf numFmtId="0" fontId="20" fillId="0" borderId="53" xfId="0" applyFont="1" applyBorder="1"/>
    <xf numFmtId="0" fontId="20" fillId="0" borderId="54" xfId="0" applyFont="1" applyBorder="1"/>
    <xf numFmtId="0" fontId="20" fillId="0" borderId="47" xfId="0" applyFont="1" applyBorder="1" applyAlignment="1">
      <alignment horizontal="center"/>
    </xf>
    <xf numFmtId="0" fontId="20" fillId="0" borderId="48" xfId="0" applyFont="1" applyBorder="1"/>
    <xf numFmtId="0" fontId="20" fillId="0" borderId="33" xfId="0" applyFont="1" applyBorder="1"/>
    <xf numFmtId="0" fontId="21" fillId="0" borderId="3" xfId="0" applyFont="1" applyBorder="1"/>
    <xf numFmtId="17" fontId="20" fillId="0" borderId="34" xfId="1" applyNumberFormat="1" applyFont="1" applyBorder="1" applyProtection="1">
      <alignment horizontal="center"/>
      <protection locked="0"/>
    </xf>
    <xf numFmtId="10" fontId="20" fillId="0" borderId="35" xfId="0" applyNumberFormat="1" applyFont="1" applyBorder="1" applyProtection="1">
      <protection locked="0"/>
    </xf>
    <xf numFmtId="17" fontId="20" fillId="0" borderId="15" xfId="1" applyNumberFormat="1" applyFont="1" applyBorder="1" applyProtection="1">
      <alignment horizontal="center"/>
      <protection locked="0"/>
    </xf>
    <xf numFmtId="17" fontId="20" fillId="0" borderId="34" xfId="0" applyNumberFormat="1" applyFont="1" applyBorder="1" applyProtection="1">
      <protection locked="0"/>
    </xf>
    <xf numFmtId="3" fontId="20" fillId="0" borderId="15" xfId="0" applyNumberFormat="1" applyFont="1" applyBorder="1"/>
    <xf numFmtId="0" fontId="20" fillId="0" borderId="0" xfId="2" applyNumberFormat="1" applyFont="1"/>
    <xf numFmtId="10" fontId="20" fillId="0" borderId="50" xfId="2" applyNumberFormat="1" applyFont="1" applyBorder="1"/>
    <xf numFmtId="0" fontId="20" fillId="0" borderId="50" xfId="0" applyFont="1" applyBorder="1"/>
    <xf numFmtId="0" fontId="20" fillId="0" borderId="51" xfId="0" applyFont="1" applyBorder="1"/>
    <xf numFmtId="3" fontId="20" fillId="0" borderId="53" xfId="0" applyNumberFormat="1" applyFont="1" applyBorder="1"/>
    <xf numFmtId="0" fontId="20" fillId="0" borderId="12" xfId="2" applyNumberFormat="1" applyFont="1" applyBorder="1"/>
    <xf numFmtId="3" fontId="20" fillId="0" borderId="54" xfId="0" applyNumberFormat="1" applyFont="1" applyBorder="1"/>
    <xf numFmtId="0" fontId="21" fillId="0" borderId="6" xfId="0" applyFont="1" applyBorder="1"/>
    <xf numFmtId="3" fontId="20" fillId="0" borderId="17" xfId="0" applyNumberFormat="1" applyFont="1" applyBorder="1"/>
    <xf numFmtId="0" fontId="20" fillId="0" borderId="38" xfId="2" applyNumberFormat="1" applyFont="1" applyBorder="1"/>
    <xf numFmtId="17" fontId="20" fillId="0" borderId="3" xfId="0" applyNumberFormat="1" applyFont="1" applyBorder="1"/>
    <xf numFmtId="167" fontId="20" fillId="0" borderId="3" xfId="0" applyNumberFormat="1" applyFont="1" applyBorder="1"/>
    <xf numFmtId="167" fontId="20" fillId="0" borderId="34" xfId="0" applyNumberFormat="1" applyFont="1" applyBorder="1"/>
    <xf numFmtId="1" fontId="20" fillId="0" borderId="5" xfId="0" applyNumberFormat="1" applyFont="1" applyBorder="1"/>
    <xf numFmtId="10" fontId="20" fillId="0" borderId="3" xfId="2" applyNumberFormat="1" applyFont="1" applyBorder="1"/>
    <xf numFmtId="10" fontId="20" fillId="0" borderId="19" xfId="2" applyNumberFormat="1" applyFont="1" applyBorder="1"/>
    <xf numFmtId="10" fontId="20" fillId="0" borderId="9" xfId="2" applyNumberFormat="1" applyFont="1" applyBorder="1"/>
    <xf numFmtId="10" fontId="20" fillId="0" borderId="22" xfId="2" applyNumberFormat="1" applyFont="1" applyBorder="1"/>
    <xf numFmtId="10" fontId="20" fillId="0" borderId="6" xfId="2" applyNumberFormat="1" applyFont="1" applyBorder="1"/>
    <xf numFmtId="10" fontId="20" fillId="0" borderId="20" xfId="2" applyNumberFormat="1" applyFont="1" applyBorder="1"/>
    <xf numFmtId="167" fontId="20" fillId="0" borderId="55" xfId="0" applyNumberFormat="1" applyFont="1" applyBorder="1"/>
    <xf numFmtId="17" fontId="20" fillId="0" borderId="33" xfId="0" applyNumberFormat="1" applyFont="1" applyBorder="1"/>
    <xf numFmtId="10" fontId="20" fillId="0" borderId="0" xfId="0" applyNumberFormat="1" applyFont="1"/>
    <xf numFmtId="0" fontId="21" fillId="0" borderId="14" xfId="0" applyFont="1" applyBorder="1"/>
    <xf numFmtId="167" fontId="20" fillId="0" borderId="10" xfId="0" applyNumberFormat="1" applyFont="1" applyBorder="1"/>
    <xf numFmtId="0" fontId="20" fillId="0" borderId="30" xfId="0" applyFont="1" applyBorder="1"/>
    <xf numFmtId="17" fontId="20" fillId="0" borderId="56" xfId="0" applyNumberFormat="1" applyFont="1" applyBorder="1"/>
    <xf numFmtId="17" fontId="20" fillId="0" borderId="42" xfId="0" applyNumberFormat="1" applyFont="1" applyBorder="1"/>
    <xf numFmtId="0" fontId="20" fillId="0" borderId="57" xfId="0" applyFont="1" applyBorder="1"/>
    <xf numFmtId="0" fontId="20" fillId="0" borderId="58" xfId="0" applyFont="1" applyBorder="1"/>
    <xf numFmtId="0" fontId="20" fillId="0" borderId="43" xfId="0" applyFont="1" applyBorder="1"/>
    <xf numFmtId="3" fontId="25" fillId="0" borderId="0" xfId="0" applyNumberFormat="1" applyFont="1"/>
    <xf numFmtId="3" fontId="21" fillId="0" borderId="0" xfId="0" applyNumberFormat="1" applyFont="1"/>
    <xf numFmtId="0" fontId="25" fillId="0" borderId="0" xfId="0" applyFont="1"/>
    <xf numFmtId="0" fontId="20" fillId="0" borderId="0" xfId="0" applyFont="1" applyAlignment="1">
      <alignment horizontal="right"/>
    </xf>
    <xf numFmtId="0" fontId="19" fillId="0" borderId="1" xfId="0" applyFont="1" applyBorder="1"/>
    <xf numFmtId="164" fontId="20" fillId="0" borderId="8" xfId="0" applyNumberFormat="1" applyFont="1" applyBorder="1"/>
    <xf numFmtId="169" fontId="26" fillId="5" borderId="1" xfId="0" applyNumberFormat="1" applyFont="1" applyFill="1" applyBorder="1"/>
    <xf numFmtId="0" fontId="20" fillId="5" borderId="8" xfId="0" applyFont="1" applyFill="1" applyBorder="1"/>
    <xf numFmtId="0" fontId="20" fillId="5" borderId="2" xfId="0" applyFont="1" applyFill="1" applyBorder="1"/>
    <xf numFmtId="0" fontId="19" fillId="0" borderId="1" xfId="0" applyFont="1" applyBorder="1" applyAlignment="1">
      <alignment vertical="center"/>
    </xf>
    <xf numFmtId="37" fontId="27" fillId="5" borderId="23" xfId="0" applyNumberFormat="1" applyFont="1" applyFill="1" applyBorder="1" applyAlignment="1">
      <alignment horizontal="centerContinuous" vertical="center"/>
    </xf>
    <xf numFmtId="165" fontId="26" fillId="5" borderId="1" xfId="0" applyNumberFormat="1" applyFont="1" applyFill="1" applyBorder="1" applyAlignment="1">
      <alignment horizontal="centerContinuous" vertical="center"/>
    </xf>
    <xf numFmtId="165" fontId="26" fillId="5" borderId="2" xfId="0" applyNumberFormat="1" applyFont="1" applyFill="1" applyBorder="1" applyAlignment="1">
      <alignment horizontal="centerContinuous"/>
    </xf>
    <xf numFmtId="0" fontId="26" fillId="5" borderId="2" xfId="0" applyFont="1" applyFill="1" applyBorder="1"/>
    <xf numFmtId="0" fontId="28" fillId="0" borderId="0" xfId="0" applyFont="1"/>
    <xf numFmtId="0" fontId="29" fillId="0" borderId="2" xfId="0" applyFont="1" applyBorder="1"/>
    <xf numFmtId="169" fontId="26" fillId="5" borderId="5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17" fontId="26" fillId="5" borderId="5" xfId="0" applyNumberFormat="1" applyFont="1" applyFill="1" applyBorder="1" applyAlignment="1">
      <alignment vertical="center"/>
    </xf>
    <xf numFmtId="17" fontId="26" fillId="5" borderId="5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6" fillId="5" borderId="5" xfId="0" applyFont="1" applyFill="1" applyBorder="1"/>
    <xf numFmtId="0" fontId="20" fillId="5" borderId="24" xfId="0" applyFont="1" applyFill="1" applyBorder="1" applyAlignment="1">
      <alignment horizontal="centerContinuous"/>
    </xf>
    <xf numFmtId="10" fontId="27" fillId="5" borderId="23" xfId="0" applyNumberFormat="1" applyFont="1" applyFill="1" applyBorder="1" applyAlignment="1">
      <alignment horizontal="centerContinuous" vertical="center"/>
    </xf>
    <xf numFmtId="10" fontId="19" fillId="5" borderId="24" xfId="0" applyNumberFormat="1" applyFont="1" applyFill="1" applyBorder="1" applyAlignment="1">
      <alignment horizontal="centerContinuous"/>
    </xf>
    <xf numFmtId="164" fontId="20" fillId="0" borderId="2" xfId="0" applyNumberFormat="1" applyFont="1" applyBorder="1"/>
    <xf numFmtId="169" fontId="26" fillId="5" borderId="48" xfId="0" applyNumberFormat="1" applyFont="1" applyFill="1" applyBorder="1"/>
    <xf numFmtId="10" fontId="27" fillId="5" borderId="23" xfId="2" applyNumberFormat="1" applyFont="1" applyFill="1" applyBorder="1" applyAlignment="1">
      <alignment horizontal="centerContinuous" vertical="center"/>
    </xf>
    <xf numFmtId="10" fontId="19" fillId="5" borderId="24" xfId="2" applyNumberFormat="1" applyFont="1" applyFill="1" applyBorder="1" applyAlignment="1">
      <alignment horizontal="centerContinuous"/>
    </xf>
    <xf numFmtId="37" fontId="27" fillId="5" borderId="23" xfId="0" applyNumberFormat="1" applyFont="1" applyFill="1" applyBorder="1" applyAlignment="1">
      <alignment horizontal="centerContinuous"/>
    </xf>
    <xf numFmtId="37" fontId="21" fillId="5" borderId="24" xfId="0" applyNumberFormat="1" applyFont="1" applyFill="1" applyBorder="1" applyAlignment="1">
      <alignment horizontal="centerContinuous"/>
    </xf>
    <xf numFmtId="10" fontId="27" fillId="5" borderId="24" xfId="2" applyNumberFormat="1" applyFont="1" applyFill="1" applyBorder="1" applyAlignment="1">
      <alignment horizontal="centerContinuous" vertical="center"/>
    </xf>
    <xf numFmtId="0" fontId="19" fillId="0" borderId="0" xfId="0" applyFont="1"/>
    <xf numFmtId="0" fontId="20" fillId="0" borderId="0" xfId="0" applyFont="1" applyAlignment="1">
      <alignment horizontal="centerContinuous" vertical="center"/>
    </xf>
    <xf numFmtId="0" fontId="30" fillId="0" borderId="0" xfId="0" applyFont="1"/>
    <xf numFmtId="0" fontId="26" fillId="0" borderId="0" xfId="0" applyFont="1"/>
    <xf numFmtId="17" fontId="21" fillId="0" borderId="5" xfId="0" applyNumberFormat="1" applyFont="1" applyBorder="1" applyAlignment="1">
      <alignment horizontal="center"/>
    </xf>
    <xf numFmtId="17" fontId="20" fillId="4" borderId="23" xfId="0" applyNumberFormat="1" applyFont="1" applyFill="1" applyBorder="1"/>
    <xf numFmtId="17" fontId="20" fillId="4" borderId="24" xfId="0" applyNumberFormat="1" applyFont="1" applyFill="1" applyBorder="1"/>
    <xf numFmtId="17" fontId="20" fillId="4" borderId="26" xfId="0" applyNumberFormat="1" applyFont="1" applyFill="1" applyBorder="1"/>
    <xf numFmtId="17" fontId="20" fillId="4" borderId="27" xfId="0" applyNumberFormat="1" applyFont="1" applyFill="1" applyBorder="1"/>
    <xf numFmtId="0" fontId="21" fillId="0" borderId="19" xfId="0" applyFont="1" applyBorder="1"/>
    <xf numFmtId="167" fontId="21" fillId="0" borderId="15" xfId="0" applyNumberFormat="1" applyFont="1" applyBorder="1"/>
    <xf numFmtId="167" fontId="20" fillId="0" borderId="15" xfId="0" applyNumberFormat="1" applyFont="1" applyBorder="1"/>
    <xf numFmtId="0" fontId="21" fillId="0" borderId="22" xfId="0" applyFont="1" applyBorder="1"/>
    <xf numFmtId="0" fontId="20" fillId="4" borderId="23" xfId="0" applyFont="1" applyFill="1" applyBorder="1"/>
    <xf numFmtId="164" fontId="20" fillId="4" borderId="26" xfId="0" applyNumberFormat="1" applyFont="1" applyFill="1" applyBorder="1"/>
    <xf numFmtId="167" fontId="21" fillId="0" borderId="27" xfId="0" applyNumberFormat="1" applyFont="1" applyBorder="1"/>
    <xf numFmtId="167" fontId="20" fillId="4" borderId="23" xfId="0" applyNumberFormat="1" applyFont="1" applyFill="1" applyBorder="1"/>
    <xf numFmtId="167" fontId="20" fillId="4" borderId="27" xfId="0" applyNumberFormat="1" applyFont="1" applyFill="1" applyBorder="1"/>
    <xf numFmtId="164" fontId="21" fillId="0" borderId="15" xfId="0" applyNumberFormat="1" applyFont="1" applyBorder="1"/>
    <xf numFmtId="164" fontId="21" fillId="4" borderId="23" xfId="0" applyNumberFormat="1" applyFont="1" applyFill="1" applyBorder="1"/>
    <xf numFmtId="164" fontId="20" fillId="0" borderId="23" xfId="0" applyNumberFormat="1" applyFont="1" applyBorder="1"/>
    <xf numFmtId="10" fontId="20" fillId="0" borderId="24" xfId="0" applyNumberFormat="1" applyFont="1" applyBorder="1"/>
    <xf numFmtId="3" fontId="20" fillId="0" borderId="24" xfId="0" applyNumberFormat="1" applyFont="1" applyBorder="1"/>
    <xf numFmtId="164" fontId="27" fillId="0" borderId="0" xfId="0" applyNumberFormat="1" applyFont="1"/>
    <xf numFmtId="164" fontId="19" fillId="0" borderId="59" xfId="0" applyNumberFormat="1" applyFont="1" applyBorder="1"/>
    <xf numFmtId="0" fontId="20" fillId="0" borderId="60" xfId="0" applyFont="1" applyBorder="1"/>
    <xf numFmtId="0" fontId="20" fillId="0" borderId="61" xfId="0" applyFont="1" applyBorder="1"/>
    <xf numFmtId="164" fontId="19" fillId="0" borderId="62" xfId="0" applyNumberFormat="1" applyFont="1" applyBorder="1"/>
    <xf numFmtId="0" fontId="20" fillId="0" borderId="21" xfId="0" applyFont="1" applyBorder="1"/>
    <xf numFmtId="0" fontId="20" fillId="0" borderId="63" xfId="0" applyFont="1" applyBorder="1"/>
    <xf numFmtId="164" fontId="19" fillId="0" borderId="17" xfId="0" applyNumberFormat="1" applyFont="1" applyBorder="1"/>
    <xf numFmtId="10" fontId="4" fillId="0" borderId="0" xfId="0" applyNumberFormat="1" applyFont="1"/>
    <xf numFmtId="37" fontId="21" fillId="5" borderId="27" xfId="0" applyNumberFormat="1" applyFont="1" applyFill="1" applyBorder="1" applyAlignment="1">
      <alignment vertical="center"/>
    </xf>
    <xf numFmtId="0" fontId="31" fillId="0" borderId="0" xfId="0" applyFont="1" applyAlignment="1" applyProtection="1">
      <alignment vertical="center"/>
      <protection hidden="1"/>
    </xf>
    <xf numFmtId="177" fontId="31" fillId="0" borderId="0" xfId="0" applyNumberFormat="1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31" fillId="0" borderId="64" xfId="0" applyFont="1" applyBorder="1" applyAlignment="1" applyProtection="1">
      <alignment vertical="center"/>
      <protection hidden="1"/>
    </xf>
    <xf numFmtId="167" fontId="31" fillId="0" borderId="65" xfId="0" applyNumberFormat="1" applyFont="1" applyBorder="1" applyAlignment="1" applyProtection="1">
      <alignment vertical="center"/>
      <protection hidden="1"/>
    </xf>
    <xf numFmtId="0" fontId="32" fillId="0" borderId="64" xfId="0" applyFont="1" applyBorder="1" applyAlignment="1" applyProtection="1">
      <alignment vertical="center"/>
      <protection hidden="1"/>
    </xf>
    <xf numFmtId="177" fontId="31" fillId="0" borderId="25" xfId="0" applyNumberFormat="1" applyFont="1" applyBorder="1" applyAlignment="1" applyProtection="1">
      <alignment vertical="center"/>
      <protection hidden="1"/>
    </xf>
    <xf numFmtId="0" fontId="0" fillId="0" borderId="66" xfId="0" applyBorder="1" applyAlignment="1">
      <alignment vertical="center"/>
    </xf>
    <xf numFmtId="10" fontId="31" fillId="0" borderId="0" xfId="0" applyNumberFormat="1" applyFont="1" applyAlignment="1" applyProtection="1">
      <alignment vertical="center"/>
      <protection hidden="1"/>
    </xf>
    <xf numFmtId="167" fontId="31" fillId="0" borderId="0" xfId="0" applyNumberFormat="1" applyFont="1" applyAlignment="1" applyProtection="1">
      <alignment vertical="center"/>
      <protection hidden="1"/>
    </xf>
    <xf numFmtId="171" fontId="31" fillId="0" borderId="0" xfId="0" applyNumberFormat="1" applyFont="1" applyAlignment="1" applyProtection="1">
      <alignment vertical="center"/>
      <protection hidden="1"/>
    </xf>
    <xf numFmtId="0" fontId="31" fillId="0" borderId="47" xfId="0" applyFont="1" applyBorder="1" applyAlignment="1" applyProtection="1">
      <alignment vertical="center"/>
      <protection hidden="1"/>
    </xf>
    <xf numFmtId="167" fontId="31" fillId="0" borderId="48" xfId="0" applyNumberFormat="1" applyFont="1" applyBorder="1" applyAlignment="1" applyProtection="1">
      <alignment vertical="center"/>
      <protection hidden="1"/>
    </xf>
    <xf numFmtId="0" fontId="32" fillId="0" borderId="49" xfId="0" applyFont="1" applyBorder="1" applyAlignment="1" applyProtection="1">
      <alignment vertical="center"/>
      <protection hidden="1"/>
    </xf>
    <xf numFmtId="177" fontId="31" fillId="0" borderId="67" xfId="0" applyNumberFormat="1" applyFont="1" applyBorder="1" applyAlignment="1" applyProtection="1">
      <alignment vertical="center"/>
      <protection hidden="1"/>
    </xf>
    <xf numFmtId="0" fontId="0" fillId="0" borderId="68" xfId="0" applyBorder="1" applyAlignment="1">
      <alignment vertical="center"/>
    </xf>
    <xf numFmtId="10" fontId="31" fillId="0" borderId="48" xfId="0" applyNumberFormat="1" applyFont="1" applyBorder="1" applyAlignment="1" applyProtection="1">
      <alignment vertical="center"/>
      <protection hidden="1"/>
    </xf>
    <xf numFmtId="177" fontId="32" fillId="0" borderId="0" xfId="0" applyNumberFormat="1" applyFont="1" applyAlignment="1" applyProtection="1">
      <alignment vertical="center"/>
      <protection hidden="1"/>
    </xf>
    <xf numFmtId="10" fontId="32" fillId="0" borderId="0" xfId="0" applyNumberFormat="1" applyFont="1" applyAlignment="1" applyProtection="1">
      <alignment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31" fillId="0" borderId="49" xfId="0" applyFont="1" applyBorder="1" applyAlignment="1" applyProtection="1">
      <alignment vertical="center"/>
      <protection hidden="1"/>
    </xf>
    <xf numFmtId="0" fontId="31" fillId="0" borderId="51" xfId="0" applyFont="1" applyBorder="1" applyAlignment="1" applyProtection="1">
      <alignment vertical="center"/>
      <protection hidden="1"/>
    </xf>
    <xf numFmtId="0" fontId="31" fillId="0" borderId="57" xfId="0" applyFont="1" applyBorder="1" applyAlignment="1" applyProtection="1">
      <alignment vertical="center"/>
      <protection hidden="1"/>
    </xf>
    <xf numFmtId="174" fontId="31" fillId="0" borderId="69" xfId="0" applyNumberFormat="1" applyFont="1" applyBorder="1" applyAlignment="1" applyProtection="1">
      <alignment vertical="center"/>
      <protection hidden="1"/>
    </xf>
    <xf numFmtId="0" fontId="0" fillId="0" borderId="57" xfId="0" applyBorder="1" applyAlignment="1">
      <alignment vertical="center"/>
    </xf>
    <xf numFmtId="0" fontId="0" fillId="0" borderId="69" xfId="0" applyBorder="1" applyAlignment="1">
      <alignment horizontal="center" vertical="center"/>
    </xf>
    <xf numFmtId="0" fontId="34" fillId="0" borderId="64" xfId="0" applyFont="1" applyBorder="1" applyAlignment="1" applyProtection="1">
      <alignment vertical="center"/>
      <protection hidden="1"/>
    </xf>
    <xf numFmtId="177" fontId="31" fillId="0" borderId="70" xfId="0" applyNumberFormat="1" applyFont="1" applyBorder="1" applyAlignment="1" applyProtection="1">
      <alignment vertical="center"/>
      <protection locked="0"/>
    </xf>
    <xf numFmtId="0" fontId="32" fillId="0" borderId="70" xfId="0" applyFont="1" applyBorder="1" applyAlignment="1" applyProtection="1">
      <alignment vertical="center"/>
      <protection hidden="1"/>
    </xf>
    <xf numFmtId="165" fontId="31" fillId="0" borderId="65" xfId="0" applyNumberFormat="1" applyFont="1" applyBorder="1" applyAlignment="1" applyProtection="1">
      <alignment vertical="center"/>
      <protection locked="0"/>
    </xf>
    <xf numFmtId="165" fontId="31" fillId="0" borderId="0" xfId="0" applyNumberFormat="1" applyFont="1" applyAlignment="1" applyProtection="1">
      <alignment vertical="center"/>
      <protection hidden="1"/>
    </xf>
    <xf numFmtId="181" fontId="31" fillId="0" borderId="0" xfId="0" applyNumberFormat="1" applyFont="1" applyAlignment="1" applyProtection="1">
      <alignment vertical="center"/>
      <protection hidden="1"/>
    </xf>
    <xf numFmtId="0" fontId="32" fillId="0" borderId="47" xfId="0" applyFont="1" applyBorder="1" applyAlignment="1" applyProtection="1">
      <alignment vertical="center"/>
      <protection hidden="1"/>
    </xf>
    <xf numFmtId="177" fontId="31" fillId="0" borderId="5" xfId="0" applyNumberFormat="1" applyFont="1" applyBorder="1" applyAlignment="1" applyProtection="1">
      <alignment vertical="center"/>
      <protection locked="0"/>
    </xf>
    <xf numFmtId="0" fontId="32" fillId="0" borderId="50" xfId="0" applyFont="1" applyBorder="1" applyAlignment="1" applyProtection="1">
      <alignment vertical="center"/>
      <protection hidden="1"/>
    </xf>
    <xf numFmtId="0" fontId="31" fillId="0" borderId="51" xfId="0" applyFont="1" applyBorder="1" applyAlignment="1" applyProtection="1">
      <alignment vertical="center"/>
      <protection locked="0"/>
    </xf>
    <xf numFmtId="0" fontId="34" fillId="0" borderId="49" xfId="0" applyFont="1" applyBorder="1" applyAlignment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32" fillId="0" borderId="71" xfId="0" applyFont="1" applyBorder="1" applyAlignment="1" applyProtection="1">
      <alignment vertical="center"/>
      <protection hidden="1"/>
    </xf>
    <xf numFmtId="0" fontId="31" fillId="0" borderId="69" xfId="0" applyFont="1" applyBorder="1" applyAlignment="1" applyProtection="1">
      <alignment vertical="center"/>
      <protection locked="0"/>
    </xf>
    <xf numFmtId="168" fontId="31" fillId="0" borderId="0" xfId="0" applyNumberFormat="1" applyFont="1" applyAlignment="1" applyProtection="1">
      <alignment vertical="center"/>
      <protection hidden="1"/>
    </xf>
    <xf numFmtId="190" fontId="31" fillId="0" borderId="0" xfId="0" applyNumberFormat="1" applyFont="1" applyAlignment="1" applyProtection="1">
      <alignment horizontal="left" vertical="center"/>
      <protection hidden="1"/>
    </xf>
    <xf numFmtId="0" fontId="31" fillId="0" borderId="30" xfId="0" applyFont="1" applyBorder="1" applyAlignment="1" applyProtection="1">
      <alignment horizontal="left" vertical="center"/>
      <protection hidden="1"/>
    </xf>
    <xf numFmtId="0" fontId="31" fillId="0" borderId="42" xfId="0" applyFont="1" applyBorder="1" applyAlignment="1" applyProtection="1">
      <alignment horizontal="left" vertical="center"/>
      <protection hidden="1"/>
    </xf>
    <xf numFmtId="168" fontId="31" fillId="0" borderId="46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0" fontId="31" fillId="0" borderId="57" xfId="0" applyFont="1" applyBorder="1" applyAlignment="1" applyProtection="1">
      <alignment horizontal="left" vertical="center"/>
      <protection hidden="1"/>
    </xf>
    <xf numFmtId="0" fontId="0" fillId="0" borderId="26" xfId="0" applyBorder="1" applyAlignment="1">
      <alignment horizontal="left" vertical="center"/>
    </xf>
    <xf numFmtId="180" fontId="0" fillId="0" borderId="0" xfId="0" applyNumberFormat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locked="0"/>
    </xf>
    <xf numFmtId="0" fontId="31" fillId="0" borderId="36" xfId="0" applyFont="1" applyBorder="1" applyAlignment="1" applyProtection="1">
      <alignment horizontal="left" vertical="center"/>
      <protection hidden="1"/>
    </xf>
    <xf numFmtId="0" fontId="31" fillId="0" borderId="43" xfId="0" applyFont="1" applyBorder="1" applyAlignment="1" applyProtection="1">
      <alignment horizontal="left" vertical="center"/>
      <protection hidden="1"/>
    </xf>
    <xf numFmtId="17" fontId="31" fillId="0" borderId="68" xfId="0" applyNumberFormat="1" applyFont="1" applyBorder="1" applyAlignment="1" applyProtection="1">
      <alignment horizontal="left" vertical="center"/>
      <protection locked="0"/>
    </xf>
    <xf numFmtId="0" fontId="0" fillId="0" borderId="72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188" fontId="0" fillId="0" borderId="51" xfId="0" applyNumberFormat="1" applyBorder="1" applyAlignment="1" applyProtection="1">
      <alignment vertical="center"/>
      <protection locked="0"/>
    </xf>
    <xf numFmtId="192" fontId="31" fillId="0" borderId="0" xfId="0" applyNumberFormat="1" applyFont="1" applyAlignment="1" applyProtection="1">
      <alignment vertical="center"/>
      <protection hidden="1"/>
    </xf>
    <xf numFmtId="179" fontId="2" fillId="0" borderId="0" xfId="0" applyNumberFormat="1" applyFont="1" applyAlignment="1" applyProtection="1">
      <alignment vertical="center"/>
      <protection hidden="1"/>
    </xf>
    <xf numFmtId="179" fontId="31" fillId="0" borderId="0" xfId="0" applyNumberFormat="1" applyFont="1" applyAlignment="1" applyProtection="1">
      <alignment vertical="center"/>
      <protection hidden="1"/>
    </xf>
    <xf numFmtId="0" fontId="0" fillId="0" borderId="16" xfId="0" applyBorder="1" applyAlignment="1">
      <alignment vertical="center"/>
    </xf>
    <xf numFmtId="0" fontId="22" fillId="0" borderId="0" xfId="0" applyFont="1" applyAlignment="1" applyProtection="1">
      <alignment horizontal="center" vertical="center"/>
      <protection hidden="1"/>
    </xf>
    <xf numFmtId="0" fontId="1" fillId="7" borderId="27" xfId="0" applyFont="1" applyFill="1" applyBorder="1" applyAlignment="1" applyProtection="1">
      <alignment vertical="center"/>
      <protection hidden="1"/>
    </xf>
    <xf numFmtId="0" fontId="1" fillId="7" borderId="32" xfId="0" applyFont="1" applyFill="1" applyBorder="1" applyAlignment="1" applyProtection="1">
      <alignment vertical="center"/>
      <protection hidden="1"/>
    </xf>
    <xf numFmtId="0" fontId="0" fillId="7" borderId="32" xfId="0" applyFill="1" applyBorder="1" applyAlignment="1" applyProtection="1">
      <alignment vertical="center"/>
      <protection hidden="1"/>
    </xf>
    <xf numFmtId="0" fontId="1" fillId="7" borderId="57" xfId="0" applyFont="1" applyFill="1" applyBorder="1" applyAlignment="1" applyProtection="1">
      <alignment vertical="center"/>
      <protection hidden="1"/>
    </xf>
    <xf numFmtId="0" fontId="0" fillId="7" borderId="26" xfId="0" applyFill="1" applyBorder="1" applyAlignment="1" applyProtection="1">
      <alignment vertical="center"/>
      <protection hidden="1"/>
    </xf>
    <xf numFmtId="0" fontId="0" fillId="7" borderId="24" xfId="0" applyFill="1" applyBorder="1" applyAlignment="1" applyProtection="1">
      <alignment vertical="center"/>
      <protection hidden="1"/>
    </xf>
    <xf numFmtId="0" fontId="13" fillId="0" borderId="64" xfId="0" applyFont="1" applyBorder="1" applyAlignment="1" applyProtection="1">
      <alignment vertical="center"/>
      <protection hidden="1"/>
    </xf>
    <xf numFmtId="0" fontId="13" fillId="0" borderId="25" xfId="0" applyFont="1" applyBorder="1" applyAlignment="1" applyProtection="1">
      <alignment vertical="center"/>
      <protection hidden="1"/>
    </xf>
    <xf numFmtId="0" fontId="30" fillId="0" borderId="25" xfId="0" applyFont="1" applyBorder="1" applyAlignment="1" applyProtection="1">
      <alignment vertical="center"/>
      <protection hidden="1"/>
    </xf>
    <xf numFmtId="0" fontId="30" fillId="0" borderId="52" xfId="0" applyFont="1" applyBorder="1" applyAlignment="1" applyProtection="1">
      <alignment vertical="center"/>
      <protection hidden="1"/>
    </xf>
    <xf numFmtId="10" fontId="30" fillId="0" borderId="46" xfId="0" applyNumberFormat="1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30" fillId="0" borderId="0" xfId="0" applyFont="1" applyAlignment="1" applyProtection="1">
      <alignment vertical="center"/>
      <protection hidden="1"/>
    </xf>
    <xf numFmtId="0" fontId="13" fillId="0" borderId="44" xfId="0" applyFont="1" applyBorder="1" applyAlignment="1" applyProtection="1">
      <alignment vertical="center"/>
      <protection hidden="1"/>
    </xf>
    <xf numFmtId="0" fontId="30" fillId="0" borderId="45" xfId="0" applyFont="1" applyBorder="1" applyAlignment="1" applyProtection="1">
      <alignment vertical="center"/>
      <protection hidden="1"/>
    </xf>
    <xf numFmtId="0" fontId="30" fillId="0" borderId="46" xfId="0" applyFont="1" applyBorder="1" applyAlignment="1" applyProtection="1">
      <alignment vertical="center"/>
      <protection hidden="1"/>
    </xf>
    <xf numFmtId="0" fontId="1" fillId="0" borderId="64" xfId="0" applyFont="1" applyBorder="1" applyAlignment="1" applyProtection="1">
      <alignment horizontal="center" vertical="center"/>
      <protection hidden="1"/>
    </xf>
    <xf numFmtId="177" fontId="35" fillId="0" borderId="70" xfId="0" applyNumberFormat="1" applyFont="1" applyBorder="1" applyAlignment="1" applyProtection="1">
      <alignment horizontal="center" vertical="center"/>
      <protection hidden="1"/>
    </xf>
    <xf numFmtId="0" fontId="35" fillId="0" borderId="70" xfId="0" applyFont="1" applyBorder="1" applyAlignment="1" applyProtection="1">
      <alignment horizontal="center" vertical="center"/>
      <protection hidden="1"/>
    </xf>
    <xf numFmtId="0" fontId="35" fillId="0" borderId="65" xfId="0" applyFont="1" applyBorder="1" applyAlignment="1" applyProtection="1">
      <alignment horizontal="center" vertical="center"/>
      <protection hidden="1"/>
    </xf>
    <xf numFmtId="0" fontId="35" fillId="0" borderId="45" xfId="0" applyFont="1" applyBorder="1" applyAlignment="1" applyProtection="1">
      <alignment horizontal="center" vertical="center"/>
      <protection hidden="1"/>
    </xf>
    <xf numFmtId="0" fontId="35" fillId="0" borderId="74" xfId="0" applyFont="1" applyBorder="1" applyAlignment="1" applyProtection="1">
      <alignment horizontal="center" vertical="center"/>
      <protection hidden="1"/>
    </xf>
    <xf numFmtId="0" fontId="31" fillId="0" borderId="0" xfId="0" applyFont="1" applyAlignment="1">
      <alignment vertical="center"/>
    </xf>
    <xf numFmtId="0" fontId="13" fillId="0" borderId="75" xfId="0" applyFont="1" applyBorder="1" applyAlignment="1" applyProtection="1">
      <alignment vertical="center"/>
      <protection hidden="1"/>
    </xf>
    <xf numFmtId="0" fontId="13" fillId="0" borderId="8" xfId="0" applyFont="1" applyBorder="1" applyAlignment="1" applyProtection="1">
      <alignment vertical="center"/>
      <protection hidden="1"/>
    </xf>
    <xf numFmtId="0" fontId="30" fillId="0" borderId="1" xfId="0" applyFont="1" applyBorder="1" applyAlignment="1" applyProtection="1">
      <alignment vertical="center"/>
      <protection hidden="1"/>
    </xf>
    <xf numFmtId="0" fontId="30" fillId="0" borderId="76" xfId="0" applyFont="1" applyBorder="1" applyAlignment="1" applyProtection="1">
      <alignment vertical="center"/>
      <protection hidden="1"/>
    </xf>
    <xf numFmtId="10" fontId="30" fillId="0" borderId="68" xfId="0" applyNumberFormat="1" applyFont="1" applyBorder="1" applyAlignment="1" applyProtection="1">
      <alignment vertical="center"/>
      <protection hidden="1"/>
    </xf>
    <xf numFmtId="0" fontId="13" fillId="0" borderId="13" xfId="0" applyFont="1" applyBorder="1" applyAlignment="1" applyProtection="1">
      <alignment horizontal="right" vertical="center"/>
      <protection hidden="1"/>
    </xf>
    <xf numFmtId="0" fontId="13" fillId="0" borderId="32" xfId="0" applyFont="1" applyBorder="1" applyAlignment="1" applyProtection="1">
      <alignment horizontal="right" vertical="center"/>
      <protection hidden="1"/>
    </xf>
    <xf numFmtId="0" fontId="13" fillId="0" borderId="14" xfId="0" applyFont="1" applyBorder="1" applyAlignment="1" applyProtection="1">
      <alignment horizontal="right" vertical="center"/>
      <protection hidden="1"/>
    </xf>
    <xf numFmtId="0" fontId="13" fillId="0" borderId="72" xfId="0" applyFont="1" applyBorder="1" applyAlignment="1" applyProtection="1">
      <alignment vertical="center"/>
      <protection hidden="1"/>
    </xf>
    <xf numFmtId="0" fontId="30" fillId="0" borderId="73" xfId="0" applyFont="1" applyBorder="1" applyAlignment="1" applyProtection="1">
      <alignment vertical="center"/>
      <protection hidden="1"/>
    </xf>
    <xf numFmtId="165" fontId="30" fillId="0" borderId="67" xfId="0" applyNumberFormat="1" applyFont="1" applyBorder="1" applyAlignment="1" applyProtection="1">
      <alignment vertical="center"/>
      <protection hidden="1"/>
    </xf>
    <xf numFmtId="0" fontId="30" fillId="0" borderId="68" xfId="0" applyFont="1" applyBorder="1" applyAlignment="1" applyProtection="1">
      <alignment vertical="center"/>
      <protection hidden="1"/>
    </xf>
    <xf numFmtId="0" fontId="37" fillId="0" borderId="0" xfId="0" applyFont="1" applyAlignment="1" applyProtection="1">
      <alignment vertical="center"/>
      <protection hidden="1"/>
    </xf>
    <xf numFmtId="0" fontId="0" fillId="0" borderId="47" xfId="0" applyBorder="1" applyAlignment="1" applyProtection="1">
      <alignment vertical="center"/>
      <protection locked="0"/>
    </xf>
    <xf numFmtId="174" fontId="31" fillId="0" borderId="5" xfId="0" applyNumberFormat="1" applyFont="1" applyBorder="1" applyAlignment="1" applyProtection="1">
      <alignment vertical="center"/>
      <protection locked="0"/>
    </xf>
    <xf numFmtId="193" fontId="31" fillId="0" borderId="48" xfId="0" applyNumberFormat="1" applyFont="1" applyBorder="1" applyAlignment="1" applyProtection="1">
      <alignment vertical="center"/>
      <protection locked="0"/>
    </xf>
    <xf numFmtId="193" fontId="31" fillId="0" borderId="47" xfId="0" applyNumberFormat="1" applyFont="1" applyBorder="1" applyAlignment="1" applyProtection="1">
      <alignment vertical="center"/>
      <protection locked="0"/>
    </xf>
    <xf numFmtId="0" fontId="31" fillId="0" borderId="66" xfId="0" applyFont="1" applyBorder="1" applyAlignment="1" applyProtection="1">
      <alignment vertical="center"/>
      <protection locked="0"/>
    </xf>
    <xf numFmtId="193" fontId="35" fillId="0" borderId="48" xfId="0" applyNumberFormat="1" applyFont="1" applyBorder="1" applyAlignment="1" applyProtection="1">
      <alignment horizontal="center" vertical="center"/>
      <protection locked="0"/>
    </xf>
    <xf numFmtId="193" fontId="35" fillId="0" borderId="28" xfId="0" applyNumberFormat="1" applyFont="1" applyBorder="1" applyAlignment="1" applyProtection="1">
      <alignment horizontal="center" vertical="center"/>
      <protection locked="0"/>
    </xf>
    <xf numFmtId="0" fontId="13" fillId="0" borderId="77" xfId="0" applyFont="1" applyBorder="1" applyAlignment="1" applyProtection="1">
      <alignment vertical="center"/>
      <protection hidden="1"/>
    </xf>
    <xf numFmtId="0" fontId="30" fillId="0" borderId="51" xfId="0" applyFont="1" applyBorder="1" applyAlignment="1" applyProtection="1">
      <alignment vertical="center"/>
      <protection hidden="1"/>
    </xf>
    <xf numFmtId="10" fontId="30" fillId="0" borderId="0" xfId="0" applyNumberFormat="1" applyFont="1" applyAlignment="1" applyProtection="1">
      <alignment vertical="center"/>
      <protection hidden="1"/>
    </xf>
    <xf numFmtId="177" fontId="30" fillId="0" borderId="15" xfId="0" applyNumberFormat="1" applyFont="1" applyBorder="1" applyAlignment="1" applyProtection="1">
      <alignment vertical="center"/>
      <protection hidden="1"/>
    </xf>
    <xf numFmtId="174" fontId="30" fillId="0" borderId="0" xfId="0" applyNumberFormat="1" applyFont="1" applyAlignment="1" applyProtection="1">
      <alignment vertical="center"/>
      <protection hidden="1"/>
    </xf>
    <xf numFmtId="173" fontId="30" fillId="0" borderId="0" xfId="0" applyNumberFormat="1" applyFont="1" applyAlignment="1" applyProtection="1">
      <alignment vertical="center"/>
      <protection hidden="1"/>
    </xf>
    <xf numFmtId="167" fontId="30" fillId="0" borderId="0" xfId="0" applyNumberFormat="1" applyFont="1" applyAlignment="1" applyProtection="1">
      <alignment vertical="center"/>
      <protection hidden="1"/>
    </xf>
    <xf numFmtId="167" fontId="30" fillId="0" borderId="16" xfId="0" applyNumberFormat="1" applyFont="1" applyBorder="1" applyAlignment="1" applyProtection="1">
      <alignment vertical="center"/>
      <protection hidden="1"/>
    </xf>
    <xf numFmtId="0" fontId="30" fillId="0" borderId="0" xfId="0" applyFont="1" applyAlignment="1">
      <alignment vertical="center"/>
    </xf>
    <xf numFmtId="182" fontId="30" fillId="0" borderId="0" xfId="0" applyNumberFormat="1" applyFont="1" applyAlignment="1" applyProtection="1">
      <alignment vertical="center"/>
      <protection hidden="1"/>
    </xf>
    <xf numFmtId="165" fontId="30" fillId="0" borderId="0" xfId="0" applyNumberFormat="1" applyFont="1" applyAlignment="1" applyProtection="1">
      <alignment vertical="center"/>
      <protection hidden="1"/>
    </xf>
    <xf numFmtId="183" fontId="30" fillId="0" borderId="0" xfId="0" applyNumberFormat="1" applyFont="1" applyAlignment="1" applyProtection="1">
      <alignment vertical="center"/>
      <protection hidden="1"/>
    </xf>
    <xf numFmtId="167" fontId="31" fillId="0" borderId="5" xfId="0" applyNumberFormat="1" applyFont="1" applyBorder="1" applyAlignment="1" applyProtection="1">
      <alignment vertical="center"/>
      <protection hidden="1"/>
    </xf>
    <xf numFmtId="0" fontId="31" fillId="0" borderId="10" xfId="0" applyFont="1" applyBorder="1" applyAlignment="1" applyProtection="1">
      <alignment vertical="center"/>
      <protection hidden="1"/>
    </xf>
    <xf numFmtId="193" fontId="35" fillId="0" borderId="77" xfId="0" applyNumberFormat="1" applyFont="1" applyBorder="1" applyAlignment="1" applyProtection="1">
      <alignment horizontal="center" vertical="center"/>
      <protection locked="0"/>
    </xf>
    <xf numFmtId="2" fontId="31" fillId="0" borderId="5" xfId="0" applyNumberFormat="1" applyFont="1" applyBorder="1" applyAlignment="1" applyProtection="1">
      <alignment vertical="center"/>
      <protection hidden="1"/>
    </xf>
    <xf numFmtId="171" fontId="31" fillId="0" borderId="5" xfId="0" applyNumberFormat="1" applyFont="1" applyBorder="1" applyAlignment="1" applyProtection="1">
      <alignment vertical="center"/>
      <protection hidden="1"/>
    </xf>
    <xf numFmtId="193" fontId="31" fillId="0" borderId="78" xfId="0" applyNumberFormat="1" applyFont="1" applyBorder="1" applyAlignment="1" applyProtection="1">
      <alignment vertical="center"/>
      <protection locked="0"/>
    </xf>
    <xf numFmtId="0" fontId="35" fillId="7" borderId="26" xfId="0" applyFont="1" applyFill="1" applyBorder="1" applyAlignment="1" applyProtection="1">
      <alignment horizontal="center" vertical="center"/>
      <protection hidden="1"/>
    </xf>
    <xf numFmtId="0" fontId="35" fillId="7" borderId="24" xfId="0" applyFont="1" applyFill="1" applyBorder="1" applyAlignment="1" applyProtection="1">
      <alignment horizontal="center" vertical="center"/>
      <protection hidden="1"/>
    </xf>
    <xf numFmtId="0" fontId="13" fillId="0" borderId="13" xfId="0" applyFont="1" applyBorder="1" applyAlignment="1" applyProtection="1">
      <alignment vertical="center"/>
      <protection hidden="1"/>
    </xf>
    <xf numFmtId="0" fontId="13" fillId="0" borderId="32" xfId="0" applyFont="1" applyBorder="1" applyAlignment="1" applyProtection="1">
      <alignment vertical="center"/>
      <protection hidden="1"/>
    </xf>
    <xf numFmtId="10" fontId="13" fillId="0" borderId="71" xfId="0" applyNumberFormat="1" applyFont="1" applyBorder="1" applyAlignment="1" applyProtection="1">
      <alignment horizontal="center" vertical="center"/>
      <protection hidden="1"/>
    </xf>
    <xf numFmtId="3" fontId="13" fillId="0" borderId="69" xfId="0" applyNumberFormat="1" applyFont="1" applyBorder="1" applyAlignment="1" applyProtection="1">
      <alignment horizontal="center" vertical="center"/>
      <protection hidden="1"/>
    </xf>
    <xf numFmtId="0" fontId="31" fillId="0" borderId="54" xfId="0" applyFont="1" applyBorder="1" applyAlignment="1" applyProtection="1">
      <alignment vertical="center"/>
      <protection locked="0"/>
    </xf>
    <xf numFmtId="0" fontId="13" fillId="0" borderId="15" xfId="0" applyFont="1" applyBorder="1" applyAlignment="1" applyProtection="1">
      <alignment vertical="center"/>
      <protection hidden="1"/>
    </xf>
    <xf numFmtId="167" fontId="13" fillId="0" borderId="22" xfId="0" applyNumberFormat="1" applyFont="1" applyBorder="1" applyAlignment="1" applyProtection="1">
      <alignment vertical="center"/>
      <protection hidden="1"/>
    </xf>
    <xf numFmtId="167" fontId="13" fillId="0" borderId="35" xfId="0" applyNumberFormat="1" applyFont="1" applyBorder="1" applyAlignment="1" applyProtection="1">
      <alignment vertical="center"/>
      <protection hidden="1"/>
    </xf>
    <xf numFmtId="0" fontId="30" fillId="0" borderId="15" xfId="0" applyFont="1" applyBorder="1" applyAlignment="1" applyProtection="1">
      <alignment vertical="center"/>
      <protection hidden="1"/>
    </xf>
    <xf numFmtId="0" fontId="35" fillId="0" borderId="0" xfId="0" applyFont="1" applyAlignment="1">
      <alignment horizontal="center" vertical="center"/>
    </xf>
    <xf numFmtId="0" fontId="13" fillId="0" borderId="76" xfId="0" applyFont="1" applyBorder="1" applyAlignment="1" applyProtection="1">
      <alignment vertical="center"/>
      <protection hidden="1"/>
    </xf>
    <xf numFmtId="167" fontId="13" fillId="0" borderId="76" xfId="0" applyNumberFormat="1" applyFont="1" applyBorder="1" applyAlignment="1" applyProtection="1">
      <alignment vertical="center"/>
      <protection hidden="1"/>
    </xf>
    <xf numFmtId="167" fontId="13" fillId="0" borderId="68" xfId="0" applyNumberFormat="1" applyFont="1" applyBorder="1" applyAlignment="1" applyProtection="1">
      <alignment vertical="center"/>
      <protection hidden="1"/>
    </xf>
    <xf numFmtId="0" fontId="32" fillId="0" borderId="0" xfId="0" applyFont="1" applyAlignment="1">
      <alignment vertical="center"/>
    </xf>
    <xf numFmtId="0" fontId="30" fillId="0" borderId="15" xfId="0" applyFont="1" applyBorder="1" applyAlignment="1">
      <alignment vertical="center"/>
    </xf>
    <xf numFmtId="167" fontId="30" fillId="0" borderId="0" xfId="0" applyNumberFormat="1" applyFont="1" applyAlignment="1">
      <alignment vertical="center"/>
    </xf>
    <xf numFmtId="193" fontId="31" fillId="0" borderId="28" xfId="0" applyNumberFormat="1" applyFont="1" applyBorder="1" applyAlignment="1" applyProtection="1">
      <alignment vertical="center"/>
      <protection locked="0"/>
    </xf>
    <xf numFmtId="174" fontId="13" fillId="0" borderId="22" xfId="0" applyNumberFormat="1" applyFont="1" applyBorder="1" applyAlignment="1" applyProtection="1">
      <alignment vertical="center"/>
      <protection hidden="1"/>
    </xf>
    <xf numFmtId="171" fontId="13" fillId="0" borderId="35" xfId="0" applyNumberFormat="1" applyFont="1" applyBorder="1" applyAlignment="1" applyProtection="1">
      <alignment vertical="center"/>
      <protection hidden="1"/>
    </xf>
    <xf numFmtId="0" fontId="13" fillId="0" borderId="17" xfId="0" applyFont="1" applyBorder="1" applyAlignment="1" applyProtection="1">
      <alignment vertical="center"/>
      <protection hidden="1"/>
    </xf>
    <xf numFmtId="0" fontId="13" fillId="0" borderId="38" xfId="0" applyFont="1" applyBorder="1" applyAlignment="1" applyProtection="1">
      <alignment vertical="center"/>
      <protection hidden="1"/>
    </xf>
    <xf numFmtId="174" fontId="13" fillId="0" borderId="79" xfId="0" applyNumberFormat="1" applyFont="1" applyBorder="1" applyAlignment="1" applyProtection="1">
      <alignment vertical="center"/>
      <protection hidden="1"/>
    </xf>
    <xf numFmtId="171" fontId="13" fillId="0" borderId="37" xfId="0" applyNumberFormat="1" applyFont="1" applyBorder="1" applyAlignment="1" applyProtection="1">
      <alignment vertical="center"/>
      <protection hidden="1"/>
    </xf>
    <xf numFmtId="0" fontId="0" fillId="0" borderId="49" xfId="0" applyBorder="1" applyAlignment="1" applyProtection="1">
      <alignment vertical="center"/>
      <protection locked="0"/>
    </xf>
    <xf numFmtId="174" fontId="31" fillId="0" borderId="50" xfId="0" applyNumberFormat="1" applyFont="1" applyBorder="1" applyAlignment="1" applyProtection="1">
      <alignment vertical="center"/>
      <protection locked="0"/>
    </xf>
    <xf numFmtId="193" fontId="31" fillId="0" borderId="51" xfId="0" applyNumberFormat="1" applyFont="1" applyBorder="1" applyAlignment="1" applyProtection="1">
      <alignment vertical="center"/>
      <protection locked="0"/>
    </xf>
    <xf numFmtId="193" fontId="31" fillId="0" borderId="49" xfId="0" applyNumberFormat="1" applyFont="1" applyBorder="1" applyAlignment="1" applyProtection="1">
      <alignment vertical="center"/>
      <protection locked="0"/>
    </xf>
    <xf numFmtId="0" fontId="31" fillId="0" borderId="68" xfId="0" applyFont="1" applyBorder="1" applyAlignment="1" applyProtection="1">
      <alignment vertical="center"/>
      <protection locked="0"/>
    </xf>
    <xf numFmtId="193" fontId="31" fillId="0" borderId="77" xfId="0" applyNumberFormat="1" applyFont="1" applyBorder="1" applyAlignment="1" applyProtection="1">
      <alignment vertical="center"/>
      <protection locked="0"/>
    </xf>
    <xf numFmtId="177" fontId="30" fillId="0" borderId="17" xfId="0" applyNumberFormat="1" applyFont="1" applyBorder="1" applyAlignment="1" applyProtection="1">
      <alignment vertical="center"/>
      <protection hidden="1"/>
    </xf>
    <xf numFmtId="0" fontId="30" fillId="0" borderId="38" xfId="0" applyFont="1" applyBorder="1" applyAlignment="1" applyProtection="1">
      <alignment vertical="center"/>
      <protection hidden="1"/>
    </xf>
    <xf numFmtId="167" fontId="30" fillId="0" borderId="38" xfId="0" applyNumberFormat="1" applyFont="1" applyBorder="1" applyAlignment="1" applyProtection="1">
      <alignment vertical="center"/>
      <protection hidden="1"/>
    </xf>
    <xf numFmtId="167" fontId="30" fillId="0" borderId="18" xfId="0" applyNumberFormat="1" applyFont="1" applyBorder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30" fillId="0" borderId="13" xfId="0" applyFont="1" applyBorder="1" applyAlignment="1" applyProtection="1">
      <alignment vertical="center"/>
      <protection hidden="1"/>
    </xf>
    <xf numFmtId="0" fontId="30" fillId="0" borderId="32" xfId="0" applyFont="1" applyBorder="1" applyAlignment="1" applyProtection="1">
      <alignment vertical="center"/>
      <protection hidden="1"/>
    </xf>
    <xf numFmtId="0" fontId="30" fillId="0" borderId="42" xfId="0" applyFont="1" applyBorder="1" applyAlignment="1" applyProtection="1">
      <alignment vertical="center"/>
      <protection hidden="1"/>
    </xf>
    <xf numFmtId="10" fontId="30" fillId="0" borderId="14" xfId="0" applyNumberFormat="1" applyFont="1" applyBorder="1" applyAlignment="1" applyProtection="1">
      <alignment vertical="center"/>
      <protection hidden="1"/>
    </xf>
    <xf numFmtId="169" fontId="13" fillId="0" borderId="76" xfId="0" applyNumberFormat="1" applyFont="1" applyBorder="1" applyAlignment="1" applyProtection="1">
      <alignment vertical="center"/>
      <protection hidden="1"/>
    </xf>
    <xf numFmtId="167" fontId="13" fillId="0" borderId="4" xfId="0" applyNumberFormat="1" applyFont="1" applyBorder="1" applyAlignment="1" applyProtection="1">
      <alignment vertical="center"/>
      <protection hidden="1"/>
    </xf>
    <xf numFmtId="167" fontId="13" fillId="0" borderId="0" xfId="0" applyNumberFormat="1" applyFont="1" applyAlignment="1" applyProtection="1">
      <alignment vertical="center"/>
      <protection hidden="1"/>
    </xf>
    <xf numFmtId="0" fontId="38" fillId="0" borderId="3" xfId="0" applyFont="1" applyBorder="1" applyAlignment="1" applyProtection="1">
      <alignment vertical="center"/>
      <protection hidden="1"/>
    </xf>
    <xf numFmtId="0" fontId="0" fillId="0" borderId="11" xfId="0" applyBorder="1" applyAlignment="1">
      <alignment vertical="center"/>
    </xf>
    <xf numFmtId="0" fontId="31" fillId="0" borderId="4" xfId="0" applyFont="1" applyBorder="1" applyAlignment="1" applyProtection="1">
      <alignment vertical="center"/>
      <protection hidden="1"/>
    </xf>
    <xf numFmtId="0" fontId="16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0" fillId="0" borderId="17" xfId="0" applyFont="1" applyBorder="1" applyAlignment="1" applyProtection="1">
      <alignment vertical="center"/>
      <protection hidden="1"/>
    </xf>
    <xf numFmtId="10" fontId="30" fillId="0" borderId="43" xfId="0" applyNumberFormat="1" applyFont="1" applyBorder="1" applyAlignment="1" applyProtection="1">
      <alignment vertical="center"/>
      <protection hidden="1"/>
    </xf>
    <xf numFmtId="2" fontId="30" fillId="0" borderId="0" xfId="0" applyNumberFormat="1" applyFont="1" applyAlignment="1" applyProtection="1">
      <alignment horizontal="left" vertical="center"/>
      <protection hidden="1"/>
    </xf>
    <xf numFmtId="0" fontId="2" fillId="0" borderId="0" xfId="0" applyFont="1" applyAlignment="1">
      <alignment vertical="center"/>
    </xf>
    <xf numFmtId="0" fontId="38" fillId="0" borderId="9" xfId="0" applyFont="1" applyBorder="1" applyAlignment="1" applyProtection="1">
      <alignment vertical="center"/>
      <protection hidden="1"/>
    </xf>
    <xf numFmtId="0" fontId="0" fillId="0" borderId="10" xfId="0" applyBorder="1" applyAlignment="1">
      <alignment vertical="center"/>
    </xf>
    <xf numFmtId="0" fontId="16" fillId="0" borderId="9" xfId="0" applyFont="1" applyBorder="1"/>
    <xf numFmtId="168" fontId="30" fillId="0" borderId="14" xfId="0" applyNumberFormat="1" applyFont="1" applyBorder="1" applyAlignment="1" applyProtection="1">
      <alignment vertical="center"/>
      <protection hidden="1"/>
    </xf>
    <xf numFmtId="0" fontId="21" fillId="0" borderId="23" xfId="0" applyFont="1" applyBorder="1" applyAlignment="1" applyProtection="1">
      <alignment horizontal="left" vertical="center"/>
      <protection hidden="1"/>
    </xf>
    <xf numFmtId="0" fontId="21" fillId="0" borderId="26" xfId="0" applyFont="1" applyBorder="1" applyAlignment="1" applyProtection="1">
      <alignment vertical="center"/>
      <protection hidden="1"/>
    </xf>
    <xf numFmtId="0" fontId="20" fillId="0" borderId="38" xfId="0" applyFont="1" applyBorder="1" applyAlignment="1" applyProtection="1">
      <alignment vertical="center"/>
      <protection hidden="1"/>
    </xf>
    <xf numFmtId="0" fontId="20" fillId="0" borderId="24" xfId="0" applyFont="1" applyBorder="1" applyAlignment="1">
      <alignment horizontal="centerContinuous"/>
    </xf>
    <xf numFmtId="172" fontId="13" fillId="0" borderId="80" xfId="0" applyNumberFormat="1" applyFont="1" applyBorder="1" applyAlignment="1" applyProtection="1">
      <alignment vertical="center"/>
      <protection hidden="1"/>
    </xf>
    <xf numFmtId="167" fontId="2" fillId="0" borderId="0" xfId="0" applyNumberFormat="1" applyFont="1" applyAlignment="1">
      <alignment vertical="center"/>
    </xf>
    <xf numFmtId="167" fontId="0" fillId="0" borderId="0" xfId="0" applyNumberFormat="1" applyAlignment="1">
      <alignment vertical="center"/>
    </xf>
    <xf numFmtId="0" fontId="16" fillId="0" borderId="9" xfId="0" applyFont="1" applyBorder="1" applyAlignment="1">
      <alignment vertical="center"/>
    </xf>
    <xf numFmtId="10" fontId="30" fillId="0" borderId="10" xfId="0" applyNumberFormat="1" applyFont="1" applyBorder="1" applyAlignment="1" applyProtection="1">
      <alignment vertical="center"/>
      <protection hidden="1"/>
    </xf>
    <xf numFmtId="175" fontId="30" fillId="0" borderId="16" xfId="0" applyNumberFormat="1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38" xfId="0" applyFont="1" applyBorder="1" applyAlignment="1" applyProtection="1">
      <alignment vertical="center"/>
      <protection hidden="1"/>
    </xf>
    <xf numFmtId="167" fontId="13" fillId="0" borderId="38" xfId="0" applyNumberFormat="1" applyFont="1" applyBorder="1" applyAlignment="1" applyProtection="1">
      <alignment vertical="center"/>
      <protection hidden="1"/>
    </xf>
    <xf numFmtId="167" fontId="13" fillId="0" borderId="18" xfId="0" applyNumberFormat="1" applyFont="1" applyBorder="1" applyAlignment="1" applyProtection="1">
      <alignment vertical="center"/>
      <protection hidden="1"/>
    </xf>
    <xf numFmtId="184" fontId="39" fillId="0" borderId="10" xfId="0" applyNumberFormat="1" applyFont="1" applyBorder="1" applyAlignment="1" applyProtection="1">
      <alignment vertical="center"/>
      <protection hidden="1"/>
    </xf>
    <xf numFmtId="0" fontId="0" fillId="0" borderId="9" xfId="0" applyBorder="1" applyAlignment="1">
      <alignment vertical="center"/>
    </xf>
    <xf numFmtId="175" fontId="30" fillId="0" borderId="18" xfId="0" applyNumberFormat="1" applyFont="1" applyBorder="1" applyAlignment="1" applyProtection="1">
      <alignment vertical="center"/>
      <protection hidden="1"/>
    </xf>
    <xf numFmtId="0" fontId="30" fillId="0" borderId="23" xfId="0" applyFont="1" applyBorder="1" applyAlignment="1" applyProtection="1">
      <alignment vertical="center"/>
      <protection hidden="1"/>
    </xf>
    <xf numFmtId="0" fontId="30" fillId="0" borderId="81" xfId="0" applyFont="1" applyBorder="1" applyAlignment="1" applyProtection="1">
      <alignment vertical="center"/>
      <protection hidden="1"/>
    </xf>
    <xf numFmtId="189" fontId="13" fillId="0" borderId="71" xfId="0" applyNumberFormat="1" applyFont="1" applyBorder="1" applyAlignment="1" applyProtection="1">
      <alignment vertical="center"/>
      <protection hidden="1"/>
    </xf>
    <xf numFmtId="167" fontId="13" fillId="0" borderId="26" xfId="0" applyNumberFormat="1" applyFont="1" applyBorder="1" applyAlignment="1" applyProtection="1">
      <alignment vertical="center"/>
      <protection hidden="1"/>
    </xf>
    <xf numFmtId="167" fontId="13" fillId="0" borderId="24" xfId="0" applyNumberFormat="1" applyFont="1" applyBorder="1" applyAlignment="1" applyProtection="1">
      <alignment vertical="center"/>
      <protection hidden="1"/>
    </xf>
    <xf numFmtId="175" fontId="30" fillId="0" borderId="0" xfId="0" applyNumberFormat="1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10" fontId="21" fillId="0" borderId="0" xfId="0" applyNumberFormat="1" applyFont="1" applyAlignment="1" applyProtection="1">
      <alignment horizontal="centerContinuous" vertical="center"/>
      <protection hidden="1"/>
    </xf>
    <xf numFmtId="172" fontId="13" fillId="0" borderId="0" xfId="0" applyNumberFormat="1" applyFont="1" applyAlignment="1" applyProtection="1">
      <alignment vertical="center"/>
      <protection hidden="1"/>
    </xf>
    <xf numFmtId="189" fontId="13" fillId="0" borderId="0" xfId="0" applyNumberFormat="1" applyFont="1" applyAlignment="1" applyProtection="1">
      <alignment vertical="center"/>
      <protection hidden="1"/>
    </xf>
    <xf numFmtId="0" fontId="31" fillId="0" borderId="9" xfId="0" applyFont="1" applyBorder="1" applyAlignment="1" applyProtection="1">
      <alignment vertical="center"/>
      <protection hidden="1"/>
    </xf>
    <xf numFmtId="0" fontId="13" fillId="0" borderId="82" xfId="0" applyFont="1" applyBorder="1" applyAlignment="1" applyProtection="1">
      <alignment vertical="center"/>
      <protection hidden="1"/>
    </xf>
    <xf numFmtId="0" fontId="30" fillId="0" borderId="82" xfId="0" applyFont="1" applyBorder="1" applyAlignment="1" applyProtection="1">
      <alignment vertical="center"/>
      <protection hidden="1"/>
    </xf>
    <xf numFmtId="172" fontId="13" fillId="0" borderId="82" xfId="0" applyNumberFormat="1" applyFont="1" applyBorder="1" applyAlignment="1" applyProtection="1">
      <alignment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20" fillId="5" borderId="83" xfId="0" applyFont="1" applyFill="1" applyBorder="1" applyAlignment="1" applyProtection="1">
      <alignment vertical="center"/>
      <protection hidden="1"/>
    </xf>
    <xf numFmtId="0" fontId="21" fillId="5" borderId="84" xfId="0" applyFont="1" applyFill="1" applyBorder="1" applyAlignment="1" applyProtection="1">
      <alignment vertical="center"/>
      <protection hidden="1"/>
    </xf>
    <xf numFmtId="10" fontId="21" fillId="5" borderId="85" xfId="0" applyNumberFormat="1" applyFont="1" applyFill="1" applyBorder="1" applyAlignment="1" applyProtection="1">
      <alignment vertical="center"/>
      <protection hidden="1"/>
    </xf>
    <xf numFmtId="0" fontId="21" fillId="5" borderId="85" xfId="0" applyFont="1" applyFill="1" applyBorder="1" applyAlignment="1" applyProtection="1">
      <alignment vertical="center"/>
      <protection hidden="1"/>
    </xf>
    <xf numFmtId="0" fontId="21" fillId="5" borderId="85" xfId="0" applyFont="1" applyFill="1" applyBorder="1" applyAlignment="1" applyProtection="1">
      <alignment horizontal="center" vertical="center"/>
      <protection hidden="1"/>
    </xf>
    <xf numFmtId="0" fontId="21" fillId="5" borderId="86" xfId="0" applyFont="1" applyFill="1" applyBorder="1" applyAlignment="1" applyProtection="1">
      <alignment vertical="center"/>
      <protection hidden="1"/>
    </xf>
    <xf numFmtId="0" fontId="30" fillId="5" borderId="84" xfId="0" applyFont="1" applyFill="1" applyBorder="1" applyAlignment="1" applyProtection="1">
      <alignment vertical="center"/>
      <protection hidden="1"/>
    </xf>
    <xf numFmtId="0" fontId="13" fillId="5" borderId="87" xfId="0" applyFont="1" applyFill="1" applyBorder="1" applyAlignment="1" applyProtection="1">
      <alignment horizontal="centerContinuous" vertical="center"/>
      <protection hidden="1"/>
    </xf>
    <xf numFmtId="0" fontId="13" fillId="5" borderId="88" xfId="0" applyFont="1" applyFill="1" applyBorder="1" applyAlignment="1" applyProtection="1">
      <alignment horizontal="centerContinuous" vertical="center"/>
      <protection hidden="1"/>
    </xf>
    <xf numFmtId="0" fontId="13" fillId="5" borderId="89" xfId="0" applyFont="1" applyFill="1" applyBorder="1" applyAlignment="1" applyProtection="1">
      <alignment horizontal="centerContinuous" vertical="center"/>
      <protection hidden="1"/>
    </xf>
    <xf numFmtId="0" fontId="38" fillId="0" borderId="6" xfId="0" applyFont="1" applyBorder="1" applyAlignment="1" applyProtection="1">
      <alignment vertical="center"/>
      <protection hidden="1"/>
    </xf>
    <xf numFmtId="0" fontId="0" fillId="0" borderId="12" xfId="0" applyBorder="1" applyAlignment="1">
      <alignment vertical="center"/>
    </xf>
    <xf numFmtId="0" fontId="16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20" fillId="5" borderId="80" xfId="0" applyFont="1" applyFill="1" applyBorder="1" applyAlignment="1" applyProtection="1">
      <alignment vertical="center"/>
      <protection hidden="1"/>
    </xf>
    <xf numFmtId="0" fontId="21" fillId="5" borderId="0" xfId="0" applyFont="1" applyFill="1" applyAlignment="1" applyProtection="1">
      <alignment horizontal="center" vertical="center"/>
      <protection hidden="1"/>
    </xf>
    <xf numFmtId="0" fontId="21" fillId="5" borderId="0" xfId="0" applyFont="1" applyFill="1" applyAlignment="1" applyProtection="1">
      <alignment vertical="center"/>
      <protection hidden="1"/>
    </xf>
    <xf numFmtId="10" fontId="21" fillId="5" borderId="22" xfId="0" applyNumberFormat="1" applyFont="1" applyFill="1" applyBorder="1" applyAlignment="1" applyProtection="1">
      <alignment horizontal="center" vertical="center"/>
      <protection hidden="1"/>
    </xf>
    <xf numFmtId="0" fontId="21" fillId="5" borderId="22" xfId="0" applyFont="1" applyFill="1" applyBorder="1" applyAlignment="1" applyProtection="1">
      <alignment horizontal="center" vertical="center"/>
      <protection hidden="1"/>
    </xf>
    <xf numFmtId="167" fontId="21" fillId="5" borderId="90" xfId="0" applyNumberFormat="1" applyFont="1" applyFill="1" applyBorder="1" applyAlignment="1" applyProtection="1">
      <alignment horizontal="center" vertical="center"/>
      <protection hidden="1"/>
    </xf>
    <xf numFmtId="0" fontId="30" fillId="5" borderId="0" xfId="0" applyFont="1" applyFill="1" applyAlignment="1" applyProtection="1">
      <alignment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30" fillId="5" borderId="0" xfId="0" applyFont="1" applyFill="1" applyAlignment="1" applyProtection="1">
      <alignment horizontal="centerContinuous" vertical="center"/>
      <protection hidden="1"/>
    </xf>
    <xf numFmtId="0" fontId="30" fillId="0" borderId="91" xfId="0" applyFont="1" applyBorder="1" applyAlignment="1" applyProtection="1">
      <alignment horizontal="center" vertical="center"/>
      <protection hidden="1"/>
    </xf>
    <xf numFmtId="0" fontId="30" fillId="0" borderId="1" xfId="0" applyFont="1" applyBorder="1" applyAlignment="1" applyProtection="1">
      <alignment horizontal="centerContinuous" vertical="center"/>
      <protection hidden="1"/>
    </xf>
    <xf numFmtId="0" fontId="30" fillId="0" borderId="2" xfId="0" applyFont="1" applyBorder="1" applyAlignment="1" applyProtection="1">
      <alignment horizontal="centerContinuous" vertical="center"/>
      <protection hidden="1"/>
    </xf>
    <xf numFmtId="0" fontId="30" fillId="0" borderId="11" xfId="0" applyFont="1" applyBorder="1" applyAlignment="1" applyProtection="1">
      <alignment horizontal="center" vertical="center"/>
      <protection hidden="1"/>
    </xf>
    <xf numFmtId="0" fontId="30" fillId="0" borderId="92" xfId="0" applyFont="1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167" fontId="35" fillId="0" borderId="0" xfId="0" applyNumberFormat="1" applyFont="1" applyAlignment="1" applyProtection="1">
      <alignment vertical="center"/>
      <protection hidden="1"/>
    </xf>
    <xf numFmtId="177" fontId="31" fillId="0" borderId="5" xfId="0" applyNumberFormat="1" applyFont="1" applyBorder="1" applyAlignment="1" applyProtection="1">
      <alignment vertical="center"/>
      <protection hidden="1"/>
    </xf>
    <xf numFmtId="0" fontId="31" fillId="0" borderId="5" xfId="0" applyFont="1" applyBorder="1" applyAlignment="1" applyProtection="1">
      <alignment vertical="center"/>
      <protection hidden="1"/>
    </xf>
    <xf numFmtId="0" fontId="31" fillId="0" borderId="1" xfId="0" applyFont="1" applyBorder="1" applyAlignment="1" applyProtection="1">
      <alignment vertical="center"/>
      <protection hidden="1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20" fillId="5" borderId="93" xfId="0" applyFont="1" applyFill="1" applyBorder="1" applyAlignment="1" applyProtection="1">
      <alignment vertical="center"/>
      <protection hidden="1"/>
    </xf>
    <xf numFmtId="0" fontId="21" fillId="5" borderId="82" xfId="0" applyFont="1" applyFill="1" applyBorder="1" applyAlignment="1" applyProtection="1">
      <alignment vertical="center"/>
      <protection hidden="1"/>
    </xf>
    <xf numFmtId="10" fontId="21" fillId="5" borderId="94" xfId="0" applyNumberFormat="1" applyFont="1" applyFill="1" applyBorder="1" applyAlignment="1" applyProtection="1">
      <alignment vertical="center"/>
      <protection hidden="1"/>
    </xf>
    <xf numFmtId="0" fontId="21" fillId="5" borderId="94" xfId="0" applyFont="1" applyFill="1" applyBorder="1" applyAlignment="1" applyProtection="1">
      <alignment vertical="center"/>
      <protection hidden="1"/>
    </xf>
    <xf numFmtId="0" fontId="21" fillId="5" borderId="94" xfId="0" applyFont="1" applyFill="1" applyBorder="1" applyAlignment="1" applyProtection="1">
      <alignment horizontal="center" vertical="center"/>
      <protection hidden="1"/>
    </xf>
    <xf numFmtId="0" fontId="21" fillId="5" borderId="95" xfId="0" applyFont="1" applyFill="1" applyBorder="1" applyAlignment="1" applyProtection="1">
      <alignment vertical="center"/>
      <protection hidden="1"/>
    </xf>
    <xf numFmtId="0" fontId="30" fillId="5" borderId="82" xfId="0" applyFont="1" applyFill="1" applyBorder="1" applyAlignment="1" applyProtection="1">
      <alignment vertical="center"/>
      <protection hidden="1"/>
    </xf>
    <xf numFmtId="0" fontId="13" fillId="5" borderId="82" xfId="0" applyFont="1" applyFill="1" applyBorder="1" applyAlignment="1" applyProtection="1">
      <alignment horizontal="centerContinuous" vertical="center"/>
      <protection hidden="1"/>
    </xf>
    <xf numFmtId="0" fontId="30" fillId="5" borderId="82" xfId="0" applyFont="1" applyFill="1" applyBorder="1" applyAlignment="1" applyProtection="1">
      <alignment horizontal="centerContinuous" vertical="center"/>
      <protection hidden="1"/>
    </xf>
    <xf numFmtId="0" fontId="30" fillId="0" borderId="96" xfId="0" applyFont="1" applyBorder="1" applyAlignment="1" applyProtection="1">
      <alignment horizontal="center" vertical="center"/>
      <protection hidden="1"/>
    </xf>
    <xf numFmtId="0" fontId="30" fillId="0" borderId="20" xfId="0" applyFont="1" applyBorder="1" applyAlignment="1" applyProtection="1">
      <alignment horizontal="center" vertical="center"/>
      <protection hidden="1"/>
    </xf>
    <xf numFmtId="0" fontId="30" fillId="0" borderId="7" xfId="0" applyFont="1" applyBorder="1" applyAlignment="1" applyProtection="1">
      <alignment horizontal="center" vertical="center"/>
      <protection hidden="1"/>
    </xf>
    <xf numFmtId="0" fontId="30" fillId="0" borderId="97" xfId="0" applyFont="1" applyBorder="1" applyAlignment="1" applyProtection="1">
      <alignment horizontal="center" vertical="center"/>
      <protection hidden="1"/>
    </xf>
    <xf numFmtId="171" fontId="31" fillId="0" borderId="22" xfId="0" applyNumberFormat="1" applyFont="1" applyBorder="1" applyAlignment="1" applyProtection="1">
      <alignment vertical="center"/>
      <protection hidden="1"/>
    </xf>
    <xf numFmtId="177" fontId="31" fillId="0" borderId="5" xfId="0" applyNumberFormat="1" applyFont="1" applyBorder="1" applyAlignment="1" applyProtection="1">
      <alignment vertical="center"/>
      <protection locked="0" hidden="1"/>
    </xf>
    <xf numFmtId="171" fontId="31" fillId="0" borderId="5" xfId="0" applyNumberFormat="1" applyFont="1" applyBorder="1" applyAlignment="1" applyProtection="1">
      <alignment vertical="center"/>
      <protection locked="0"/>
    </xf>
    <xf numFmtId="171" fontId="31" fillId="0" borderId="0" xfId="0" applyNumberFormat="1" applyFont="1" applyAlignment="1">
      <alignment vertical="center"/>
    </xf>
    <xf numFmtId="0" fontId="20" fillId="0" borderId="80" xfId="0" applyFont="1" applyBorder="1" applyAlignment="1" applyProtection="1">
      <alignment vertical="center"/>
      <protection hidden="1"/>
    </xf>
    <xf numFmtId="0" fontId="20" fillId="0" borderId="10" xfId="0" applyFont="1" applyBorder="1" applyAlignment="1" applyProtection="1">
      <alignment vertical="center"/>
      <protection hidden="1"/>
    </xf>
    <xf numFmtId="164" fontId="20" fillId="0" borderId="0" xfId="0" applyNumberFormat="1" applyFont="1" applyAlignment="1" applyProtection="1">
      <alignment vertical="center"/>
      <protection hidden="1"/>
    </xf>
    <xf numFmtId="167" fontId="20" fillId="0" borderId="22" xfId="0" applyNumberFormat="1" applyFont="1" applyBorder="1" applyAlignment="1" applyProtection="1">
      <alignment vertical="center"/>
      <protection hidden="1"/>
    </xf>
    <xf numFmtId="0" fontId="21" fillId="0" borderId="22" xfId="0" applyFont="1" applyBorder="1" applyAlignment="1" applyProtection="1">
      <alignment vertical="center"/>
      <protection hidden="1"/>
    </xf>
    <xf numFmtId="167" fontId="20" fillId="0" borderId="0" xfId="0" applyNumberFormat="1" applyFont="1"/>
    <xf numFmtId="0" fontId="30" fillId="0" borderId="80" xfId="0" applyFont="1" applyBorder="1" applyAlignment="1" applyProtection="1">
      <alignment vertical="center"/>
      <protection hidden="1"/>
    </xf>
    <xf numFmtId="185" fontId="30" fillId="0" borderId="0" xfId="0" applyNumberFormat="1" applyFont="1" applyAlignment="1" applyProtection="1">
      <alignment vertical="center"/>
      <protection hidden="1"/>
    </xf>
    <xf numFmtId="167" fontId="30" fillId="0" borderId="80" xfId="0" applyNumberFormat="1" applyFont="1" applyBorder="1" applyAlignment="1" applyProtection="1">
      <alignment vertical="center"/>
      <protection hidden="1"/>
    </xf>
    <xf numFmtId="167" fontId="30" fillId="0" borderId="22" xfId="0" applyNumberFormat="1" applyFont="1" applyBorder="1" applyAlignment="1" applyProtection="1">
      <alignment vertical="center"/>
      <protection hidden="1"/>
    </xf>
    <xf numFmtId="167" fontId="30" fillId="0" borderId="10" xfId="0" applyNumberFormat="1" applyFont="1" applyBorder="1" applyAlignment="1" applyProtection="1">
      <alignment vertical="center"/>
      <protection hidden="1"/>
    </xf>
    <xf numFmtId="167" fontId="30" fillId="0" borderId="90" xfId="0" applyNumberFormat="1" applyFont="1" applyBorder="1" applyAlignment="1" applyProtection="1">
      <alignment vertical="center"/>
      <protection hidden="1"/>
    </xf>
    <xf numFmtId="1" fontId="31" fillId="0" borderId="0" xfId="0" applyNumberFormat="1" applyFont="1" applyAlignment="1" applyProtection="1">
      <alignment vertical="center"/>
      <protection hidden="1"/>
    </xf>
    <xf numFmtId="0" fontId="0" fillId="0" borderId="2" xfId="0" applyBorder="1" applyAlignment="1">
      <alignment horizontal="center"/>
    </xf>
    <xf numFmtId="2" fontId="0" fillId="0" borderId="2" xfId="0" applyNumberFormat="1" applyBorder="1"/>
    <xf numFmtId="194" fontId="31" fillId="0" borderId="0" xfId="0" applyNumberFormat="1" applyFont="1" applyAlignment="1" applyProtection="1">
      <alignment vertical="center"/>
      <protection hidden="1"/>
    </xf>
    <xf numFmtId="0" fontId="0" fillId="0" borderId="7" xfId="0" applyBorder="1" applyAlignment="1">
      <alignment horizontal="center"/>
    </xf>
    <xf numFmtId="2" fontId="0" fillId="0" borderId="7" xfId="0" applyNumberFormat="1" applyBorder="1"/>
    <xf numFmtId="0" fontId="0" fillId="0" borderId="7" xfId="0" applyBorder="1"/>
    <xf numFmtId="185" fontId="31" fillId="0" borderId="0" xfId="0" applyNumberFormat="1" applyFont="1" applyAlignment="1" applyProtection="1">
      <alignment vertical="center"/>
      <protection hidden="1"/>
    </xf>
    <xf numFmtId="177" fontId="0" fillId="0" borderId="0" xfId="0" applyNumberFormat="1" applyAlignment="1">
      <alignment vertical="center"/>
    </xf>
    <xf numFmtId="169" fontId="31" fillId="0" borderId="0" xfId="0" applyNumberFormat="1" applyFont="1" applyAlignment="1" applyProtection="1">
      <alignment vertical="center"/>
      <protection hidden="1"/>
    </xf>
    <xf numFmtId="0" fontId="37" fillId="0" borderId="10" xfId="0" applyFont="1" applyBorder="1" applyAlignment="1" applyProtection="1">
      <alignment vertical="center"/>
      <protection hidden="1"/>
    </xf>
    <xf numFmtId="171" fontId="37" fillId="0" borderId="0" xfId="0" applyNumberFormat="1" applyFont="1" applyAlignment="1" applyProtection="1">
      <alignment vertical="center"/>
      <protection hidden="1"/>
    </xf>
    <xf numFmtId="173" fontId="31" fillId="0" borderId="0" xfId="0" applyNumberFormat="1" applyFont="1" applyAlignment="1" applyProtection="1">
      <alignment vertical="center"/>
      <protection hidden="1"/>
    </xf>
    <xf numFmtId="0" fontId="20" fillId="0" borderId="98" xfId="0" applyFont="1" applyBorder="1" applyAlignment="1" applyProtection="1">
      <alignment vertical="center"/>
      <protection hidden="1"/>
    </xf>
    <xf numFmtId="0" fontId="21" fillId="0" borderId="8" xfId="0" applyFont="1" applyBorder="1" applyAlignment="1" applyProtection="1">
      <alignment vertical="center"/>
      <protection hidden="1"/>
    </xf>
    <xf numFmtId="10" fontId="21" fillId="0" borderId="8" xfId="0" applyNumberFormat="1" applyFont="1" applyBorder="1" applyAlignment="1" applyProtection="1">
      <alignment vertical="center"/>
      <protection hidden="1"/>
    </xf>
    <xf numFmtId="167" fontId="21" fillId="0" borderId="27" xfId="0" applyNumberFormat="1" applyFont="1" applyBorder="1" applyAlignment="1" applyProtection="1">
      <alignment vertical="center"/>
      <protection hidden="1"/>
    </xf>
    <xf numFmtId="178" fontId="20" fillId="0" borderId="5" xfId="0" applyNumberFormat="1" applyFont="1" applyBorder="1" applyAlignment="1" applyProtection="1">
      <alignment vertical="center"/>
      <protection hidden="1"/>
    </xf>
    <xf numFmtId="167" fontId="30" fillId="0" borderId="98" xfId="0" applyNumberFormat="1" applyFont="1" applyBorder="1" applyAlignment="1" applyProtection="1">
      <alignment vertical="center"/>
      <protection hidden="1"/>
    </xf>
    <xf numFmtId="167" fontId="30" fillId="0" borderId="5" xfId="0" applyNumberFormat="1" applyFont="1" applyBorder="1" applyAlignment="1" applyProtection="1">
      <alignment vertical="center"/>
      <protection hidden="1"/>
    </xf>
    <xf numFmtId="167" fontId="30" fillId="0" borderId="2" xfId="0" applyNumberFormat="1" applyFont="1" applyBorder="1" applyAlignment="1" applyProtection="1">
      <alignment vertical="center"/>
      <protection hidden="1"/>
    </xf>
    <xf numFmtId="167" fontId="30" fillId="0" borderId="99" xfId="0" applyNumberFormat="1" applyFont="1" applyBorder="1" applyAlignment="1" applyProtection="1">
      <alignment vertical="center"/>
      <protection hidden="1"/>
    </xf>
    <xf numFmtId="1" fontId="39" fillId="0" borderId="0" xfId="0" applyNumberFormat="1" applyFont="1" applyAlignment="1" applyProtection="1">
      <alignment vertical="center"/>
      <protection hidden="1"/>
    </xf>
    <xf numFmtId="169" fontId="37" fillId="0" borderId="0" xfId="0" applyNumberFormat="1" applyFont="1" applyAlignment="1" applyProtection="1">
      <alignment vertical="center"/>
      <protection hidden="1"/>
    </xf>
    <xf numFmtId="167" fontId="30" fillId="0" borderId="100" xfId="0" applyNumberFormat="1" applyFont="1" applyBorder="1" applyAlignment="1" applyProtection="1">
      <alignment vertical="center"/>
      <protection hidden="1"/>
    </xf>
    <xf numFmtId="0" fontId="21" fillId="0" borderId="98" xfId="0" applyFont="1" applyBorder="1" applyAlignment="1" applyProtection="1">
      <alignment vertical="center"/>
      <protection hidden="1"/>
    </xf>
    <xf numFmtId="10" fontId="20" fillId="0" borderId="0" xfId="0" applyNumberFormat="1" applyFont="1" applyAlignment="1" applyProtection="1">
      <alignment vertical="center"/>
      <protection hidden="1"/>
    </xf>
    <xf numFmtId="167" fontId="20" fillId="0" borderId="19" xfId="0" applyNumberFormat="1" applyFont="1" applyBorder="1" applyAlignment="1" applyProtection="1">
      <alignment vertical="center"/>
      <protection hidden="1"/>
    </xf>
    <xf numFmtId="167" fontId="30" fillId="0" borderId="9" xfId="0" applyNumberFormat="1" applyFont="1" applyBorder="1" applyAlignment="1" applyProtection="1">
      <alignment vertical="center"/>
      <protection hidden="1"/>
    </xf>
    <xf numFmtId="176" fontId="20" fillId="0" borderId="9" xfId="0" applyNumberFormat="1" applyFont="1" applyBorder="1" applyAlignment="1" applyProtection="1">
      <alignment vertical="center"/>
      <protection hidden="1"/>
    </xf>
    <xf numFmtId="167" fontId="20" fillId="0" borderId="4" xfId="0" applyNumberFormat="1" applyFont="1" applyBorder="1"/>
    <xf numFmtId="171" fontId="32" fillId="0" borderId="0" xfId="0" applyNumberFormat="1" applyFont="1" applyAlignment="1" applyProtection="1">
      <alignment vertical="center"/>
      <protection hidden="1"/>
    </xf>
    <xf numFmtId="0" fontId="20" fillId="0" borderId="96" xfId="0" applyFont="1" applyBorder="1" applyAlignment="1" applyProtection="1">
      <alignment vertical="center"/>
      <protection hidden="1"/>
    </xf>
    <xf numFmtId="166" fontId="20" fillId="0" borderId="19" xfId="0" applyNumberFormat="1" applyFont="1" applyBorder="1" applyAlignment="1" applyProtection="1">
      <alignment vertical="center"/>
      <protection hidden="1"/>
    </xf>
    <xf numFmtId="166" fontId="20" fillId="0" borderId="10" xfId="0" applyNumberFormat="1" applyFont="1" applyBorder="1" applyAlignment="1" applyProtection="1">
      <alignment vertical="center"/>
      <protection hidden="1"/>
    </xf>
    <xf numFmtId="1" fontId="37" fillId="0" borderId="0" xfId="0" applyNumberFormat="1" applyFont="1" applyAlignment="1" applyProtection="1">
      <alignment vertical="center"/>
      <protection hidden="1"/>
    </xf>
    <xf numFmtId="2" fontId="0" fillId="0" borderId="0" xfId="0" applyNumberFormat="1"/>
    <xf numFmtId="0" fontId="21" fillId="5" borderId="93" xfId="0" applyFont="1" applyFill="1" applyBorder="1" applyAlignment="1" applyProtection="1">
      <alignment vertical="center"/>
      <protection hidden="1"/>
    </xf>
    <xf numFmtId="0" fontId="21" fillId="5" borderId="101" xfId="0" applyFont="1" applyFill="1" applyBorder="1" applyAlignment="1" applyProtection="1">
      <alignment vertical="center"/>
      <protection hidden="1"/>
    </xf>
    <xf numFmtId="10" fontId="21" fillId="5" borderId="101" xfId="0" applyNumberFormat="1" applyFont="1" applyFill="1" applyBorder="1" applyAlignment="1" applyProtection="1">
      <alignment vertical="center"/>
      <protection hidden="1"/>
    </xf>
    <xf numFmtId="167" fontId="21" fillId="5" borderId="102" xfId="0" applyNumberFormat="1" applyFont="1" applyFill="1" applyBorder="1" applyAlignment="1" applyProtection="1">
      <alignment vertical="center"/>
      <protection hidden="1"/>
    </xf>
    <xf numFmtId="186" fontId="20" fillId="0" borderId="103" xfId="0" applyNumberFormat="1" applyFont="1" applyBorder="1" applyAlignment="1" applyProtection="1">
      <alignment vertical="center"/>
      <protection hidden="1"/>
    </xf>
    <xf numFmtId="167" fontId="21" fillId="0" borderId="102" xfId="0" applyNumberFormat="1" applyFont="1" applyBorder="1"/>
    <xf numFmtId="167" fontId="13" fillId="1" borderId="104" xfId="0" applyNumberFormat="1" applyFont="1" applyFill="1" applyBorder="1" applyAlignment="1" applyProtection="1">
      <alignment vertical="center"/>
      <protection hidden="1"/>
    </xf>
    <xf numFmtId="167" fontId="13" fillId="1" borderId="103" xfId="0" applyNumberFormat="1" applyFont="1" applyFill="1" applyBorder="1" applyAlignment="1" applyProtection="1">
      <alignment vertical="center"/>
      <protection hidden="1"/>
    </xf>
    <xf numFmtId="167" fontId="13" fillId="1" borderId="105" xfId="0" applyNumberFormat="1" applyFont="1" applyFill="1" applyBorder="1" applyAlignment="1" applyProtection="1">
      <alignment vertical="center"/>
      <protection hidden="1"/>
    </xf>
    <xf numFmtId="167" fontId="13" fillId="1" borderId="106" xfId="0" applyNumberFormat="1" applyFont="1" applyFill="1" applyBorder="1" applyAlignment="1" applyProtection="1">
      <alignment vertical="center"/>
      <protection hidden="1"/>
    </xf>
    <xf numFmtId="10" fontId="13" fillId="0" borderId="0" xfId="0" applyNumberFormat="1" applyFont="1" applyAlignment="1" applyProtection="1">
      <alignment vertical="center"/>
      <protection hidden="1"/>
    </xf>
    <xf numFmtId="37" fontId="13" fillId="0" borderId="0" xfId="0" applyNumberFormat="1" applyFont="1" applyAlignment="1" applyProtection="1">
      <alignment vertical="center"/>
      <protection hidden="1"/>
    </xf>
    <xf numFmtId="167" fontId="30" fillId="0" borderId="0" xfId="0" applyNumberFormat="1" applyFont="1"/>
    <xf numFmtId="9" fontId="30" fillId="0" borderId="0" xfId="0" applyNumberFormat="1" applyFont="1" applyAlignment="1" applyProtection="1">
      <alignment vertical="center"/>
      <protection hidden="1"/>
    </xf>
    <xf numFmtId="0" fontId="30" fillId="0" borderId="107" xfId="0" applyFont="1" applyBorder="1" applyAlignment="1" applyProtection="1">
      <alignment horizontal="center" vertical="center"/>
      <protection hidden="1"/>
    </xf>
    <xf numFmtId="10" fontId="30" fillId="0" borderId="108" xfId="0" applyNumberFormat="1" applyFont="1" applyBorder="1" applyAlignment="1" applyProtection="1">
      <alignment horizontal="center" vertical="center"/>
      <protection hidden="1"/>
    </xf>
    <xf numFmtId="37" fontId="30" fillId="0" borderId="108" xfId="0" applyNumberFormat="1" applyFont="1" applyBorder="1" applyAlignment="1" applyProtection="1">
      <alignment vertical="center"/>
      <protection hidden="1"/>
    </xf>
    <xf numFmtId="9" fontId="30" fillId="0" borderId="86" xfId="0" applyNumberFormat="1" applyFont="1" applyBorder="1" applyAlignment="1" applyProtection="1">
      <alignment vertical="center"/>
      <protection hidden="1"/>
    </xf>
    <xf numFmtId="0" fontId="30" fillId="0" borderId="109" xfId="0" applyFont="1" applyBorder="1" applyAlignment="1" applyProtection="1">
      <alignment horizontal="center" vertical="top"/>
      <protection hidden="1"/>
    </xf>
    <xf numFmtId="0" fontId="30" fillId="0" borderId="83" xfId="0" applyFont="1" applyBorder="1" applyAlignment="1" applyProtection="1">
      <alignment horizontal="centerContinuous" vertical="top"/>
      <protection hidden="1"/>
    </xf>
    <xf numFmtId="0" fontId="30" fillId="0" borderId="108" xfId="0" applyFont="1" applyBorder="1" applyAlignment="1" applyProtection="1">
      <alignment horizontal="centerContinuous" vertical="top"/>
      <protection hidden="1"/>
    </xf>
    <xf numFmtId="0" fontId="30" fillId="0" borderId="108" xfId="0" applyFont="1" applyBorder="1" applyAlignment="1" applyProtection="1">
      <alignment vertical="top"/>
      <protection hidden="1"/>
    </xf>
    <xf numFmtId="0" fontId="30" fillId="0" borderId="110" xfId="0" applyFont="1" applyBorder="1" applyAlignment="1" applyProtection="1">
      <alignment vertical="top"/>
      <protection hidden="1"/>
    </xf>
    <xf numFmtId="171" fontId="37" fillId="0" borderId="0" xfId="0" applyNumberFormat="1" applyFont="1" applyAlignment="1" applyProtection="1">
      <alignment horizontal="center" vertical="center"/>
      <protection hidden="1"/>
    </xf>
    <xf numFmtId="1" fontId="32" fillId="0" borderId="0" xfId="0" applyNumberFormat="1" applyFont="1" applyAlignment="1" applyProtection="1">
      <alignment vertical="center"/>
      <protection hidden="1"/>
    </xf>
    <xf numFmtId="0" fontId="30" fillId="0" borderId="111" xfId="0" applyFont="1" applyBorder="1" applyAlignment="1" applyProtection="1">
      <alignment horizontal="center" vertical="center"/>
      <protection hidden="1"/>
    </xf>
    <xf numFmtId="10" fontId="30" fillId="0" borderId="10" xfId="0" applyNumberFormat="1" applyFont="1" applyBorder="1" applyAlignment="1" applyProtection="1">
      <alignment horizontal="center" vertical="center"/>
      <protection hidden="1"/>
    </xf>
    <xf numFmtId="0" fontId="30" fillId="0" borderId="10" xfId="0" applyFont="1" applyBorder="1" applyAlignment="1" applyProtection="1">
      <alignment horizontal="center" vertical="center"/>
      <protection hidden="1"/>
    </xf>
    <xf numFmtId="0" fontId="30" fillId="0" borderId="90" xfId="0" applyFont="1" applyBorder="1" applyAlignment="1" applyProtection="1">
      <alignment horizontal="center" vertical="center"/>
      <protection hidden="1"/>
    </xf>
    <xf numFmtId="0" fontId="30" fillId="0" borderId="112" xfId="0" applyFont="1" applyBorder="1" applyAlignment="1" applyProtection="1">
      <alignment horizontal="center" vertical="center"/>
      <protection hidden="1"/>
    </xf>
    <xf numFmtId="0" fontId="30" fillId="0" borderId="113" xfId="0" applyFont="1" applyBorder="1" applyAlignment="1" applyProtection="1">
      <alignment horizontal="center" vertical="center"/>
      <protection hidden="1"/>
    </xf>
    <xf numFmtId="0" fontId="30" fillId="0" borderId="19" xfId="0" applyFont="1" applyBorder="1" applyAlignment="1" applyProtection="1">
      <alignment horizontal="center" vertical="center"/>
      <protection hidden="1"/>
    </xf>
    <xf numFmtId="0" fontId="30" fillId="0" borderId="100" xfId="0" applyFont="1" applyBorder="1" applyAlignment="1" applyProtection="1">
      <alignment horizontal="center" vertical="center"/>
      <protection hidden="1"/>
    </xf>
    <xf numFmtId="0" fontId="30" fillId="0" borderId="114" xfId="0" applyFont="1" applyBorder="1" applyAlignment="1" applyProtection="1">
      <alignment horizontal="center" vertical="center"/>
      <protection hidden="1"/>
    </xf>
    <xf numFmtId="10" fontId="30" fillId="0" borderId="20" xfId="0" applyNumberFormat="1" applyFont="1" applyBorder="1" applyAlignment="1" applyProtection="1">
      <alignment vertical="center"/>
      <protection hidden="1"/>
    </xf>
    <xf numFmtId="0" fontId="30" fillId="0" borderId="7" xfId="0" applyFont="1" applyBorder="1" applyAlignment="1" applyProtection="1">
      <alignment vertical="center"/>
      <protection hidden="1"/>
    </xf>
    <xf numFmtId="0" fontId="30" fillId="0" borderId="115" xfId="0" applyFont="1" applyBorder="1" applyAlignment="1" applyProtection="1">
      <alignment horizontal="center" vertical="center"/>
      <protection hidden="1"/>
    </xf>
    <xf numFmtId="0" fontId="30" fillId="0" borderId="116" xfId="0" applyFont="1" applyBorder="1" applyAlignment="1" applyProtection="1">
      <alignment horizontal="center" vertical="center"/>
      <protection hidden="1"/>
    </xf>
    <xf numFmtId="0" fontId="30" fillId="0" borderId="117" xfId="0" applyFont="1" applyBorder="1" applyAlignment="1" applyProtection="1">
      <alignment vertical="center"/>
      <protection hidden="1"/>
    </xf>
    <xf numFmtId="0" fontId="30" fillId="0" borderId="118" xfId="0" applyFont="1" applyBorder="1" applyAlignment="1" applyProtection="1">
      <alignment vertical="center"/>
      <protection hidden="1"/>
    </xf>
    <xf numFmtId="10" fontId="30" fillId="0" borderId="119" xfId="0" applyNumberFormat="1" applyFont="1" applyBorder="1" applyAlignment="1" applyProtection="1">
      <alignment vertical="center"/>
      <protection hidden="1"/>
    </xf>
    <xf numFmtId="176" fontId="30" fillId="0" borderId="2" xfId="0" applyNumberFormat="1" applyFont="1" applyBorder="1" applyAlignment="1" applyProtection="1">
      <alignment vertical="center"/>
      <protection hidden="1"/>
    </xf>
    <xf numFmtId="174" fontId="13" fillId="0" borderId="55" xfId="0" applyNumberFormat="1" applyFont="1" applyBorder="1" applyAlignment="1" applyProtection="1">
      <alignment vertical="center"/>
      <protection hidden="1"/>
    </xf>
    <xf numFmtId="167" fontId="30" fillId="0" borderId="120" xfId="0" applyNumberFormat="1" applyFont="1" applyBorder="1" applyAlignment="1" applyProtection="1">
      <alignment vertical="center"/>
      <protection hidden="1"/>
    </xf>
    <xf numFmtId="167" fontId="30" fillId="0" borderId="105" xfId="0" applyNumberFormat="1" applyFont="1" applyBorder="1" applyAlignment="1" applyProtection="1">
      <alignment vertical="center"/>
      <protection hidden="1"/>
    </xf>
    <xf numFmtId="176" fontId="30" fillId="0" borderId="121" xfId="0" applyNumberFormat="1" applyFont="1" applyBorder="1" applyAlignment="1" applyProtection="1">
      <alignment vertical="center"/>
      <protection hidden="1"/>
    </xf>
    <xf numFmtId="167" fontId="30" fillId="0" borderId="121" xfId="0" applyNumberFormat="1" applyFont="1" applyBorder="1" applyAlignment="1" applyProtection="1">
      <alignment vertical="center"/>
      <protection hidden="1"/>
    </xf>
    <xf numFmtId="167" fontId="30" fillId="0" borderId="106" xfId="0" applyNumberFormat="1" applyFont="1" applyBorder="1" applyAlignment="1" applyProtection="1">
      <alignment vertical="center"/>
      <protection hidden="1"/>
    </xf>
    <xf numFmtId="167" fontId="30" fillId="0" borderId="103" xfId="0" applyNumberFormat="1" applyFont="1" applyBorder="1" applyAlignment="1" applyProtection="1">
      <alignment vertical="center"/>
      <protection hidden="1"/>
    </xf>
    <xf numFmtId="0" fontId="30" fillId="0" borderId="117" xfId="0" applyFont="1" applyBorder="1" applyAlignment="1" applyProtection="1">
      <alignment vertical="top"/>
      <protection hidden="1"/>
    </xf>
    <xf numFmtId="0" fontId="30" fillId="0" borderId="118" xfId="0" applyFont="1" applyBorder="1" applyAlignment="1">
      <alignment vertical="top"/>
    </xf>
    <xf numFmtId="0" fontId="30" fillId="0" borderId="118" xfId="0" applyFont="1" applyBorder="1" applyAlignment="1" applyProtection="1">
      <alignment vertical="top"/>
      <protection hidden="1"/>
    </xf>
    <xf numFmtId="0" fontId="30" fillId="0" borderId="119" xfId="0" applyFont="1" applyBorder="1" applyAlignment="1" applyProtection="1">
      <alignment vertical="top"/>
      <protection hidden="1"/>
    </xf>
    <xf numFmtId="191" fontId="30" fillId="0" borderId="0" xfId="0" applyNumberFormat="1" applyFont="1" applyAlignment="1" applyProtection="1">
      <alignment horizontal="centerContinuous" vertical="center"/>
      <protection hidden="1"/>
    </xf>
    <xf numFmtId="0" fontId="30" fillId="0" borderId="0" xfId="0" applyFont="1" applyAlignment="1" applyProtection="1">
      <alignment horizontal="centerContinuous" vertical="center"/>
      <protection hidden="1"/>
    </xf>
    <xf numFmtId="0" fontId="1" fillId="0" borderId="44" xfId="0" applyFont="1" applyBorder="1" applyAlignment="1">
      <alignment vertical="center"/>
    </xf>
    <xf numFmtId="0" fontId="31" fillId="0" borderId="46" xfId="0" applyFont="1" applyBorder="1" applyAlignment="1" applyProtection="1">
      <alignment vertical="center"/>
      <protection hidden="1"/>
    </xf>
    <xf numFmtId="0" fontId="0" fillId="0" borderId="75" xfId="0" applyBorder="1" applyAlignment="1" applyProtection="1">
      <alignment vertical="center"/>
      <protection locked="0"/>
    </xf>
    <xf numFmtId="177" fontId="31" fillId="0" borderId="8" xfId="0" applyNumberFormat="1" applyFont="1" applyBorder="1" applyAlignment="1" applyProtection="1">
      <alignment vertical="center"/>
      <protection hidden="1"/>
    </xf>
    <xf numFmtId="0" fontId="31" fillId="0" borderId="52" xfId="0" applyFont="1" applyBorder="1" applyAlignment="1" applyProtection="1">
      <alignment vertical="center"/>
      <protection hidden="1"/>
    </xf>
    <xf numFmtId="171" fontId="31" fillId="0" borderId="52" xfId="0" applyNumberFormat="1" applyFont="1" applyBorder="1" applyAlignment="1" applyProtection="1">
      <alignment vertical="center"/>
      <protection hidden="1"/>
    </xf>
    <xf numFmtId="0" fontId="0" fillId="0" borderId="53" xfId="0" applyBorder="1" applyAlignment="1" applyProtection="1">
      <alignment vertical="center"/>
      <protection locked="0"/>
    </xf>
    <xf numFmtId="177" fontId="31" fillId="0" borderId="12" xfId="0" applyNumberFormat="1" applyFont="1" applyBorder="1" applyAlignment="1" applyProtection="1">
      <alignment vertical="center"/>
      <protection hidden="1"/>
    </xf>
    <xf numFmtId="0" fontId="31" fillId="0" borderId="12" xfId="0" applyFont="1" applyBorder="1" applyAlignment="1" applyProtection="1">
      <alignment vertical="center"/>
      <protection hidden="1"/>
    </xf>
    <xf numFmtId="171" fontId="31" fillId="0" borderId="12" xfId="0" applyNumberFormat="1" applyFont="1" applyBorder="1" applyAlignment="1" applyProtection="1">
      <alignment vertical="center"/>
      <protection hidden="1"/>
    </xf>
    <xf numFmtId="0" fontId="31" fillId="0" borderId="66" xfId="0" applyFont="1" applyBorder="1" applyAlignment="1" applyProtection="1">
      <alignment vertical="center"/>
      <protection hidden="1"/>
    </xf>
    <xf numFmtId="0" fontId="0" fillId="0" borderId="83" xfId="0" applyBorder="1" applyAlignment="1">
      <alignment vertical="center"/>
    </xf>
    <xf numFmtId="177" fontId="31" fillId="0" borderId="84" xfId="0" applyNumberFormat="1" applyFont="1" applyBorder="1" applyAlignment="1" applyProtection="1">
      <alignment vertical="center"/>
      <protection hidden="1"/>
    </xf>
    <xf numFmtId="0" fontId="31" fillId="0" borderId="84" xfId="0" applyFont="1" applyBorder="1" applyAlignment="1" applyProtection="1">
      <alignment vertical="center"/>
      <protection hidden="1"/>
    </xf>
    <xf numFmtId="173" fontId="31" fillId="0" borderId="84" xfId="0" applyNumberFormat="1" applyFont="1" applyBorder="1" applyAlignment="1" applyProtection="1">
      <alignment vertical="center"/>
      <protection hidden="1"/>
    </xf>
    <xf numFmtId="171" fontId="31" fillId="0" borderId="84" xfId="0" applyNumberFormat="1" applyFont="1" applyBorder="1" applyAlignment="1" applyProtection="1">
      <alignment vertical="center"/>
      <protection hidden="1"/>
    </xf>
    <xf numFmtId="0" fontId="31" fillId="0" borderId="110" xfId="0" applyFont="1" applyBorder="1" applyAlignment="1" applyProtection="1">
      <alignment vertical="center"/>
      <protection hidden="1"/>
    </xf>
    <xf numFmtId="0" fontId="0" fillId="0" borderId="80" xfId="0" applyBorder="1" applyAlignment="1">
      <alignment vertical="center"/>
    </xf>
    <xf numFmtId="0" fontId="31" fillId="0" borderId="100" xfId="0" applyFont="1" applyBorder="1" applyAlignment="1" applyProtection="1">
      <alignment vertical="center"/>
      <protection hidden="1"/>
    </xf>
    <xf numFmtId="0" fontId="0" fillId="0" borderId="17" xfId="0" applyBorder="1" applyAlignment="1" applyProtection="1">
      <alignment vertical="center"/>
      <protection locked="0"/>
    </xf>
    <xf numFmtId="177" fontId="31" fillId="0" borderId="38" xfId="0" applyNumberFormat="1" applyFont="1" applyBorder="1" applyAlignment="1" applyProtection="1">
      <alignment vertical="center"/>
      <protection hidden="1"/>
    </xf>
    <xf numFmtId="0" fontId="31" fillId="0" borderId="38" xfId="0" applyFont="1" applyBorder="1" applyAlignment="1" applyProtection="1">
      <alignment vertical="center"/>
      <protection hidden="1"/>
    </xf>
    <xf numFmtId="0" fontId="31" fillId="0" borderId="68" xfId="0" applyFont="1" applyBorder="1" applyAlignment="1" applyProtection="1">
      <alignment vertical="center"/>
      <protection hidden="1"/>
    </xf>
    <xf numFmtId="0" fontId="0" fillId="0" borderId="93" xfId="0" applyBorder="1" applyAlignment="1">
      <alignment vertical="center"/>
    </xf>
    <xf numFmtId="177" fontId="31" fillId="0" borderId="82" xfId="0" applyNumberFormat="1" applyFont="1" applyBorder="1" applyAlignment="1" applyProtection="1">
      <alignment vertical="center"/>
      <protection hidden="1"/>
    </xf>
    <xf numFmtId="0" fontId="31" fillId="0" borderId="82" xfId="0" applyFont="1" applyBorder="1" applyAlignment="1" applyProtection="1">
      <alignment vertical="center"/>
      <protection hidden="1"/>
    </xf>
    <xf numFmtId="0" fontId="31" fillId="0" borderId="122" xfId="0" applyFont="1" applyBorder="1" applyAlignment="1" applyProtection="1">
      <alignment vertical="center"/>
      <protection hidden="1"/>
    </xf>
    <xf numFmtId="17" fontId="3" fillId="0" borderId="32" xfId="1" applyNumberFormat="1" applyFont="1" applyBorder="1" applyAlignment="1">
      <alignment horizontal="centerContinuous"/>
    </xf>
    <xf numFmtId="3" fontId="4" fillId="0" borderId="42" xfId="0" applyNumberFormat="1" applyFont="1" applyBorder="1" applyAlignment="1">
      <alignment horizontal="centerContinuous"/>
    </xf>
    <xf numFmtId="167" fontId="20" fillId="0" borderId="115" xfId="0" applyNumberFormat="1" applyFont="1" applyBorder="1"/>
    <xf numFmtId="3" fontId="4" fillId="8" borderId="5" xfId="0" applyNumberFormat="1" applyFont="1" applyFill="1" applyBorder="1" applyProtection="1">
      <protection hidden="1"/>
    </xf>
    <xf numFmtId="2" fontId="41" fillId="0" borderId="0" xfId="0" applyNumberFormat="1" applyFont="1" applyProtection="1">
      <protection hidden="1"/>
    </xf>
    <xf numFmtId="9" fontId="4" fillId="2" borderId="12" xfId="0" applyNumberFormat="1" applyFont="1" applyFill="1" applyBorder="1" applyProtection="1">
      <protection locked="0"/>
    </xf>
    <xf numFmtId="167" fontId="30" fillId="0" borderId="96" xfId="0" applyNumberFormat="1" applyFont="1" applyBorder="1" applyAlignment="1" applyProtection="1">
      <alignment vertical="center"/>
      <protection hidden="1"/>
    </xf>
    <xf numFmtId="167" fontId="30" fillId="0" borderId="20" xfId="0" applyNumberFormat="1" applyFont="1" applyBorder="1" applyAlignment="1" applyProtection="1">
      <alignment vertical="center"/>
      <protection hidden="1"/>
    </xf>
    <xf numFmtId="167" fontId="30" fillId="0" borderId="7" xfId="0" applyNumberFormat="1" applyFont="1" applyBorder="1" applyAlignment="1" applyProtection="1">
      <alignment vertical="center"/>
      <protection hidden="1"/>
    </xf>
    <xf numFmtId="167" fontId="30" fillId="0" borderId="115" xfId="0" applyNumberFormat="1" applyFont="1" applyBorder="1" applyAlignment="1" applyProtection="1">
      <alignment vertical="center"/>
      <protection hidden="1"/>
    </xf>
    <xf numFmtId="9" fontId="4" fillId="2" borderId="0" xfId="0" applyNumberFormat="1" applyFont="1" applyFill="1" applyProtection="1">
      <protection locked="0"/>
    </xf>
    <xf numFmtId="167" fontId="20" fillId="0" borderId="56" xfId="0" applyNumberFormat="1" applyFont="1" applyBorder="1"/>
    <xf numFmtId="167" fontId="20" fillId="0" borderId="58" xfId="0" applyNumberFormat="1" applyFont="1" applyBorder="1"/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hidden="1"/>
    </xf>
    <xf numFmtId="0" fontId="31" fillId="0" borderId="6" xfId="0" applyFont="1" applyBorder="1" applyAlignment="1" applyProtection="1">
      <alignment vertical="center"/>
      <protection locked="0"/>
    </xf>
    <xf numFmtId="178" fontId="20" fillId="0" borderId="19" xfId="0" applyNumberFormat="1" applyFont="1" applyBorder="1" applyAlignment="1" applyProtection="1">
      <alignment vertical="center"/>
      <protection hidden="1"/>
    </xf>
    <xf numFmtId="0" fontId="20" fillId="0" borderId="22" xfId="0" applyFont="1" applyBorder="1" applyAlignment="1" applyProtection="1">
      <alignment vertical="center"/>
      <protection hidden="1"/>
    </xf>
    <xf numFmtId="166" fontId="20" fillId="0" borderId="22" xfId="0" applyNumberFormat="1" applyFont="1" applyBorder="1" applyAlignment="1" applyProtection="1">
      <alignment vertical="center"/>
      <protection hidden="1"/>
    </xf>
    <xf numFmtId="164" fontId="4" fillId="2" borderId="30" xfId="2" applyNumberFormat="1" applyFont="1" applyFill="1" applyBorder="1" applyProtection="1">
      <protection locked="0"/>
    </xf>
    <xf numFmtId="164" fontId="20" fillId="0" borderId="10" xfId="2" applyNumberFormat="1" applyFont="1" applyBorder="1"/>
    <xf numFmtId="164" fontId="2" fillId="0" borderId="32" xfId="2" applyNumberFormat="1" applyBorder="1"/>
    <xf numFmtId="3" fontId="0" fillId="0" borderId="32" xfId="0" applyNumberFormat="1" applyBorder="1"/>
    <xf numFmtId="0" fontId="0" fillId="0" borderId="32" xfId="0" applyBorder="1"/>
    <xf numFmtId="0" fontId="0" fillId="0" borderId="25" xfId="0" applyBorder="1"/>
    <xf numFmtId="0" fontId="0" fillId="0" borderId="45" xfId="0" applyBorder="1"/>
    <xf numFmtId="0" fontId="0" fillId="0" borderId="46" xfId="0" applyBorder="1"/>
    <xf numFmtId="0" fontId="0" fillId="0" borderId="123" xfId="0" applyBorder="1"/>
    <xf numFmtId="164" fontId="12" fillId="0" borderId="79" xfId="2" applyNumberFormat="1" applyFont="1" applyBorder="1"/>
    <xf numFmtId="3" fontId="12" fillId="0" borderId="79" xfId="0" applyNumberFormat="1" applyFont="1" applyBorder="1"/>
    <xf numFmtId="0" fontId="0" fillId="0" borderId="38" xfId="0" applyBorder="1"/>
    <xf numFmtId="9" fontId="0" fillId="0" borderId="40" xfId="0" applyNumberFormat="1" applyBorder="1"/>
    <xf numFmtId="0" fontId="0" fillId="0" borderId="43" xfId="0" applyBorder="1"/>
    <xf numFmtId="0" fontId="11" fillId="0" borderId="13" xfId="0" applyFont="1" applyBorder="1"/>
    <xf numFmtId="0" fontId="0" fillId="0" borderId="14" xfId="0" applyBorder="1"/>
    <xf numFmtId="164" fontId="12" fillId="0" borderId="32" xfId="2" applyNumberFormat="1" applyFont="1" applyBorder="1"/>
    <xf numFmtId="3" fontId="12" fillId="0" borderId="124" xfId="0" applyNumberFormat="1" applyFont="1" applyBorder="1"/>
    <xf numFmtId="9" fontId="0" fillId="0" borderId="39" xfId="0" applyNumberFormat="1" applyBorder="1"/>
    <xf numFmtId="0" fontId="0" fillId="0" borderId="42" xfId="0" applyBorder="1"/>
    <xf numFmtId="0" fontId="0" fillId="4" borderId="0" xfId="0" applyFill="1"/>
    <xf numFmtId="164" fontId="12" fillId="0" borderId="38" xfId="2" applyNumberFormat="1" applyFont="1" applyBorder="1"/>
    <xf numFmtId="10" fontId="30" fillId="0" borderId="0" xfId="0" applyNumberFormat="1" applyFont="1" applyAlignment="1" applyProtection="1">
      <alignment vertical="center"/>
      <protection locked="0" hidden="1"/>
    </xf>
    <xf numFmtId="170" fontId="4" fillId="9" borderId="5" xfId="0" applyNumberFormat="1" applyFont="1" applyFill="1" applyBorder="1" applyProtection="1">
      <protection hidden="1"/>
    </xf>
    <xf numFmtId="164" fontId="4" fillId="2" borderId="56" xfId="2" applyNumberFormat="1" applyFont="1" applyFill="1" applyBorder="1" applyProtection="1">
      <protection locked="0"/>
    </xf>
    <xf numFmtId="164" fontId="4" fillId="2" borderId="33" xfId="2" applyNumberFormat="1" applyFont="1" applyFill="1" applyBorder="1" applyProtection="1">
      <protection locked="0"/>
    </xf>
    <xf numFmtId="164" fontId="4" fillId="2" borderId="58" xfId="2" applyNumberFormat="1" applyFont="1" applyFill="1" applyBorder="1" applyProtection="1">
      <protection locked="0"/>
    </xf>
    <xf numFmtId="0" fontId="13" fillId="0" borderId="15" xfId="0" applyFont="1" applyBorder="1"/>
    <xf numFmtId="0" fontId="4" fillId="0" borderId="13" xfId="0" applyFont="1" applyBorder="1"/>
    <xf numFmtId="164" fontId="4" fillId="2" borderId="15" xfId="2" applyNumberFormat="1" applyFont="1" applyFill="1" applyBorder="1" applyProtection="1">
      <protection locked="0"/>
    </xf>
    <xf numFmtId="164" fontId="4" fillId="2" borderId="36" xfId="2" applyNumberFormat="1" applyFont="1" applyFill="1" applyBorder="1" applyProtection="1">
      <protection locked="0"/>
    </xf>
    <xf numFmtId="164" fontId="4" fillId="2" borderId="13" xfId="2" applyNumberFormat="1" applyFont="1" applyFill="1" applyBorder="1" applyProtection="1">
      <protection locked="0"/>
    </xf>
    <xf numFmtId="164" fontId="4" fillId="2" borderId="17" xfId="2" applyNumberFormat="1" applyFont="1" applyFill="1" applyBorder="1" applyProtection="1">
      <protection locked="0"/>
    </xf>
    <xf numFmtId="187" fontId="30" fillId="0" borderId="0" xfId="0" applyNumberFormat="1" applyFont="1" applyAlignment="1" applyProtection="1">
      <alignment vertical="center"/>
      <protection hidden="1"/>
    </xf>
    <xf numFmtId="0" fontId="31" fillId="0" borderId="1" xfId="0" applyFont="1" applyBorder="1" applyAlignment="1" applyProtection="1">
      <alignment vertical="center"/>
      <protection locked="0"/>
    </xf>
    <xf numFmtId="0" fontId="31" fillId="0" borderId="8" xfId="0" applyFont="1" applyBorder="1" applyAlignment="1" applyProtection="1">
      <alignment vertical="center"/>
      <protection locked="0"/>
    </xf>
    <xf numFmtId="0" fontId="31" fillId="0" borderId="2" xfId="0" applyFont="1" applyBorder="1" applyAlignment="1" applyProtection="1">
      <alignment vertical="center"/>
      <protection locked="0"/>
    </xf>
    <xf numFmtId="3" fontId="40" fillId="0" borderId="15" xfId="0" applyNumberFormat="1" applyFont="1" applyBorder="1" applyProtection="1">
      <protection hidden="1"/>
    </xf>
    <xf numFmtId="3" fontId="40" fillId="0" borderId="53" xfId="0" applyNumberFormat="1" applyFont="1" applyBorder="1" applyProtection="1">
      <protection hidden="1"/>
    </xf>
    <xf numFmtId="3" fontId="13" fillId="0" borderId="15" xfId="0" applyNumberFormat="1" applyFont="1" applyBorder="1" applyProtection="1">
      <protection hidden="1"/>
    </xf>
    <xf numFmtId="0" fontId="31" fillId="0" borderId="8" xfId="0" applyFont="1" applyBorder="1" applyAlignment="1" applyProtection="1">
      <alignment vertical="center"/>
      <protection hidden="1"/>
    </xf>
    <xf numFmtId="0" fontId="31" fillId="0" borderId="76" xfId="0" applyFont="1" applyBorder="1" applyAlignment="1" applyProtection="1">
      <alignment vertical="center"/>
      <protection hidden="1"/>
    </xf>
    <xf numFmtId="165" fontId="31" fillId="0" borderId="0" xfId="0" applyNumberFormat="1" applyFont="1" applyAlignment="1" applyProtection="1">
      <alignment vertical="center"/>
      <protection locked="0"/>
    </xf>
    <xf numFmtId="177" fontId="31" fillId="0" borderId="2" xfId="0" applyNumberFormat="1" applyFont="1" applyBorder="1" applyAlignment="1" applyProtection="1">
      <alignment vertical="center"/>
      <protection locked="0"/>
    </xf>
    <xf numFmtId="171" fontId="31" fillId="0" borderId="1" xfId="0" applyNumberFormat="1" applyFont="1" applyBorder="1" applyAlignment="1" applyProtection="1">
      <alignment vertical="center"/>
      <protection locked="0"/>
    </xf>
    <xf numFmtId="177" fontId="31" fillId="0" borderId="2" xfId="0" applyNumberFormat="1" applyFont="1" applyBorder="1" applyAlignment="1" applyProtection="1">
      <alignment horizontal="left" vertical="center"/>
      <protection locked="0" hidden="1"/>
    </xf>
    <xf numFmtId="177" fontId="31" fillId="0" borderId="2" xfId="0" applyNumberFormat="1" applyFont="1" applyBorder="1" applyAlignment="1" applyProtection="1">
      <alignment horizontal="left" vertical="center"/>
      <protection locked="0"/>
    </xf>
    <xf numFmtId="177" fontId="31" fillId="0" borderId="5" xfId="0" applyNumberFormat="1" applyFont="1" applyBorder="1" applyAlignment="1" applyProtection="1">
      <alignment horizontal="left" vertical="center"/>
      <protection locked="0" hidden="1"/>
    </xf>
    <xf numFmtId="2" fontId="0" fillId="0" borderId="5" xfId="0" applyNumberFormat="1" applyBorder="1" applyAlignment="1" applyProtection="1">
      <alignment horizontal="center"/>
      <protection locked="0"/>
    </xf>
    <xf numFmtId="0" fontId="35" fillId="0" borderId="46" xfId="0" applyFont="1" applyBorder="1" applyAlignment="1" applyProtection="1">
      <alignment horizontal="center" vertical="center"/>
      <protection hidden="1"/>
    </xf>
    <xf numFmtId="2" fontId="0" fillId="0" borderId="50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32" fillId="0" borderId="0" xfId="0" applyFont="1" applyAlignment="1" applyProtection="1">
      <alignment horizontal="center" vertical="center"/>
      <protection hidden="1"/>
    </xf>
    <xf numFmtId="2" fontId="31" fillId="0" borderId="56" xfId="0" applyNumberFormat="1" applyFont="1" applyBorder="1" applyAlignment="1" applyProtection="1">
      <alignment vertical="center"/>
      <protection hidden="1"/>
    </xf>
    <xf numFmtId="2" fontId="32" fillId="0" borderId="56" xfId="0" applyNumberFormat="1" applyFont="1" applyBorder="1" applyAlignment="1" applyProtection="1">
      <alignment vertical="center"/>
      <protection hidden="1"/>
    </xf>
    <xf numFmtId="2" fontId="31" fillId="0" borderId="15" xfId="0" applyNumberFormat="1" applyFont="1" applyBorder="1" applyAlignment="1" applyProtection="1">
      <alignment vertical="center"/>
      <protection hidden="1"/>
    </xf>
    <xf numFmtId="2" fontId="32" fillId="0" borderId="33" xfId="0" applyNumberFormat="1" applyFont="1" applyBorder="1" applyAlignment="1" applyProtection="1">
      <alignment vertical="center"/>
      <protection hidden="1"/>
    </xf>
    <xf numFmtId="2" fontId="31" fillId="0" borderId="33" xfId="0" applyNumberFormat="1" applyFont="1" applyBorder="1" applyAlignment="1" applyProtection="1">
      <alignment vertical="center"/>
      <protection hidden="1"/>
    </xf>
    <xf numFmtId="167" fontId="32" fillId="0" borderId="27" xfId="0" applyNumberFormat="1" applyFont="1" applyBorder="1" applyAlignment="1" applyProtection="1">
      <alignment vertical="center"/>
      <protection hidden="1"/>
    </xf>
    <xf numFmtId="0" fontId="32" fillId="0" borderId="27" xfId="0" applyFont="1" applyBorder="1" applyAlignment="1" applyProtection="1">
      <alignment vertical="center"/>
      <protection hidden="1"/>
    </xf>
    <xf numFmtId="2" fontId="32" fillId="0" borderId="27" xfId="0" applyNumberFormat="1" applyFont="1" applyBorder="1" applyAlignment="1" applyProtection="1">
      <alignment vertical="center"/>
      <protection hidden="1"/>
    </xf>
    <xf numFmtId="0" fontId="1" fillId="0" borderId="27" xfId="0" applyFont="1" applyBorder="1" applyAlignment="1">
      <alignment vertical="center"/>
    </xf>
    <xf numFmtId="2" fontId="1" fillId="0" borderId="27" xfId="0" applyNumberFormat="1" applyFont="1" applyBorder="1" applyAlignment="1">
      <alignment vertical="center"/>
    </xf>
    <xf numFmtId="0" fontId="20" fillId="0" borderId="24" xfId="0" applyFont="1" applyBorder="1" applyAlignment="1" applyProtection="1">
      <alignment vertical="center"/>
      <protection hidden="1"/>
    </xf>
    <xf numFmtId="195" fontId="30" fillId="0" borderId="0" xfId="0" applyNumberFormat="1" applyFont="1" applyAlignment="1" applyProtection="1">
      <alignment vertical="center"/>
      <protection hidden="1"/>
    </xf>
    <xf numFmtId="2" fontId="0" fillId="0" borderId="69" xfId="0" applyNumberFormat="1" applyBorder="1" applyAlignment="1" applyProtection="1">
      <alignment vertical="center"/>
      <protection locked="0"/>
    </xf>
    <xf numFmtId="4" fontId="4" fillId="8" borderId="5" xfId="0" applyNumberFormat="1" applyFont="1" applyFill="1" applyBorder="1" applyProtection="1">
      <protection hidden="1"/>
    </xf>
    <xf numFmtId="196" fontId="4" fillId="8" borderId="5" xfId="0" applyNumberFormat="1" applyFont="1" applyFill="1" applyBorder="1" applyProtection="1">
      <protection hidden="1"/>
    </xf>
    <xf numFmtId="0" fontId="42" fillId="0" borderId="57" xfId="0" applyFont="1" applyBorder="1" applyAlignment="1" applyProtection="1">
      <alignment vertical="center"/>
      <protection hidden="1"/>
    </xf>
    <xf numFmtId="2" fontId="16" fillId="0" borderId="0" xfId="0" applyNumberFormat="1" applyFont="1" applyProtection="1">
      <protection hidden="1"/>
    </xf>
    <xf numFmtId="0" fontId="31" fillId="0" borderId="5" xfId="0" applyFont="1" applyBorder="1" applyAlignment="1" applyProtection="1">
      <alignment horizontal="center" vertical="center"/>
      <protection locked="0"/>
    </xf>
    <xf numFmtId="0" fontId="31" fillId="0" borderId="50" xfId="0" applyFont="1" applyBorder="1" applyAlignment="1" applyProtection="1">
      <alignment horizontal="center" vertical="center"/>
      <protection locked="0"/>
    </xf>
    <xf numFmtId="0" fontId="35" fillId="0" borderId="5" xfId="0" applyFont="1" applyBorder="1" applyAlignment="1" applyProtection="1">
      <alignment vertical="center"/>
      <protection locked="0"/>
    </xf>
    <xf numFmtId="177" fontId="31" fillId="0" borderId="49" xfId="0" applyNumberFormat="1" applyFont="1" applyBorder="1" applyAlignment="1" applyProtection="1">
      <alignment vertical="center"/>
      <protection locked="0"/>
    </xf>
    <xf numFmtId="0" fontId="35" fillId="0" borderId="57" xfId="0" applyFont="1" applyBorder="1" applyAlignment="1" applyProtection="1">
      <alignment horizontal="center" vertical="center"/>
      <protection hidden="1"/>
    </xf>
    <xf numFmtId="0" fontId="35" fillId="0" borderId="71" xfId="0" applyFont="1" applyBorder="1" applyAlignment="1" applyProtection="1">
      <alignment vertical="center"/>
      <protection locked="0"/>
    </xf>
    <xf numFmtId="193" fontId="35" fillId="0" borderId="69" xfId="0" applyNumberFormat="1" applyFont="1" applyBorder="1" applyAlignment="1" applyProtection="1">
      <alignment horizontal="center" vertical="center"/>
      <protection locked="0"/>
    </xf>
    <xf numFmtId="2" fontId="0" fillId="0" borderId="71" xfId="0" applyNumberFormat="1" applyBorder="1" applyAlignment="1" applyProtection="1">
      <alignment horizontal="center"/>
      <protection locked="0"/>
    </xf>
    <xf numFmtId="193" fontId="35" fillId="0" borderId="27" xfId="0" applyNumberFormat="1" applyFont="1" applyBorder="1" applyAlignment="1" applyProtection="1">
      <alignment horizontal="center" vertical="center"/>
      <protection locked="0"/>
    </xf>
    <xf numFmtId="164" fontId="20" fillId="0" borderId="19" xfId="0" applyNumberFormat="1" applyFont="1" applyBorder="1" applyAlignment="1" applyProtection="1">
      <alignment vertical="center"/>
      <protection hidden="1"/>
    </xf>
    <xf numFmtId="164" fontId="20" fillId="0" borderId="22" xfId="0" applyNumberFormat="1" applyFont="1" applyBorder="1" applyAlignment="1" applyProtection="1">
      <alignment vertical="center"/>
      <protection hidden="1"/>
    </xf>
    <xf numFmtId="164" fontId="20" fillId="0" borderId="20" xfId="0" applyNumberFormat="1" applyFont="1" applyBorder="1" applyAlignment="1" applyProtection="1">
      <alignment vertical="center"/>
      <protection hidden="1"/>
    </xf>
    <xf numFmtId="177" fontId="35" fillId="0" borderId="10" xfId="0" applyNumberFormat="1" applyFont="1" applyBorder="1" applyAlignment="1" applyProtection="1">
      <alignment horizontal="center" vertical="center"/>
      <protection hidden="1"/>
    </xf>
    <xf numFmtId="0" fontId="36" fillId="0" borderId="64" xfId="0" applyFont="1" applyBorder="1" applyAlignment="1" applyProtection="1">
      <alignment horizontal="center" vertical="center"/>
      <protection hidden="1"/>
    </xf>
    <xf numFmtId="0" fontId="35" fillId="0" borderId="47" xfId="0" applyFont="1" applyBorder="1" applyAlignment="1">
      <alignment horizontal="center" vertical="center"/>
    </xf>
    <xf numFmtId="177" fontId="35" fillId="0" borderId="49" xfId="0" applyNumberFormat="1" applyFont="1" applyBorder="1" applyAlignment="1" applyProtection="1">
      <alignment horizontal="center" vertical="center"/>
      <protection hidden="1"/>
    </xf>
    <xf numFmtId="0" fontId="35" fillId="0" borderId="50" xfId="0" applyFont="1" applyBorder="1" applyAlignment="1" applyProtection="1">
      <alignment vertical="center"/>
      <protection locked="0"/>
    </xf>
    <xf numFmtId="193" fontId="35" fillId="0" borderId="51" xfId="0" applyNumberFormat="1" applyFont="1" applyBorder="1" applyAlignment="1" applyProtection="1">
      <alignment horizontal="center" vertical="center"/>
      <protection locked="0"/>
    </xf>
    <xf numFmtId="17" fontId="4" fillId="10" borderId="3" xfId="0" applyNumberFormat="1" applyFont="1" applyFill="1" applyBorder="1" applyProtection="1">
      <protection hidden="1"/>
    </xf>
    <xf numFmtId="17" fontId="4" fillId="10" borderId="5" xfId="0" applyNumberFormat="1" applyFont="1" applyFill="1" applyBorder="1" applyProtection="1">
      <protection hidden="1"/>
    </xf>
    <xf numFmtId="198" fontId="4" fillId="10" borderId="3" xfId="2" applyNumberFormat="1" applyFont="1" applyFill="1" applyBorder="1" applyProtection="1">
      <protection hidden="1"/>
    </xf>
    <xf numFmtId="198" fontId="4" fillId="10" borderId="19" xfId="2" applyNumberFormat="1" applyFont="1" applyFill="1" applyBorder="1" applyProtection="1">
      <protection hidden="1"/>
    </xf>
    <xf numFmtId="198" fontId="4" fillId="10" borderId="9" xfId="2" applyNumberFormat="1" applyFont="1" applyFill="1" applyBorder="1" applyProtection="1">
      <protection hidden="1"/>
    </xf>
    <xf numFmtId="198" fontId="4" fillId="10" borderId="22" xfId="2" applyNumberFormat="1" applyFont="1" applyFill="1" applyBorder="1" applyProtection="1">
      <protection hidden="1"/>
    </xf>
    <xf numFmtId="198" fontId="4" fillId="10" borderId="6" xfId="2" applyNumberFormat="1" applyFont="1" applyFill="1" applyBorder="1" applyProtection="1">
      <protection hidden="1"/>
    </xf>
    <xf numFmtId="198" fontId="4" fillId="10" borderId="20" xfId="2" applyNumberFormat="1" applyFont="1" applyFill="1" applyBorder="1" applyProtection="1">
      <protection hidden="1"/>
    </xf>
    <xf numFmtId="166" fontId="4" fillId="0" borderId="0" xfId="2" applyNumberFormat="1" applyFont="1" applyProtection="1">
      <protection locked="0"/>
    </xf>
    <xf numFmtId="166" fontId="4" fillId="2" borderId="5" xfId="2" applyNumberFormat="1" applyFont="1" applyFill="1" applyBorder="1" applyAlignment="1" applyProtection="1">
      <alignment horizontal="center"/>
      <protection locked="0"/>
    </xf>
    <xf numFmtId="10" fontId="17" fillId="5" borderId="24" xfId="0" applyNumberFormat="1" applyFont="1" applyFill="1" applyBorder="1" applyAlignment="1">
      <alignment horizontal="centerContinuous" vertical="center"/>
    </xf>
    <xf numFmtId="0" fontId="19" fillId="0" borderId="50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180" fontId="3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13" fillId="11" borderId="13" xfId="0" applyFont="1" applyFill="1" applyBorder="1" applyAlignment="1">
      <alignment vertical="center"/>
    </xf>
    <xf numFmtId="0" fontId="13" fillId="11" borderId="32" xfId="0" applyFont="1" applyFill="1" applyBorder="1" applyAlignment="1">
      <alignment vertical="center"/>
    </xf>
    <xf numFmtId="10" fontId="13" fillId="11" borderId="13" xfId="0" applyNumberFormat="1" applyFont="1" applyFill="1" applyBorder="1" applyAlignment="1">
      <alignment horizontal="center" vertical="center"/>
    </xf>
    <xf numFmtId="10" fontId="13" fillId="11" borderId="56" xfId="0" applyNumberFormat="1" applyFont="1" applyFill="1" applyBorder="1" applyAlignment="1">
      <alignment horizontal="center" vertical="center"/>
    </xf>
    <xf numFmtId="10" fontId="13" fillId="6" borderId="0" xfId="0" applyNumberFormat="1" applyFont="1" applyFill="1" applyAlignment="1">
      <alignment horizontal="center" vertical="center"/>
    </xf>
    <xf numFmtId="0" fontId="13" fillId="11" borderId="56" xfId="0" applyFont="1" applyFill="1" applyBorder="1" applyAlignment="1">
      <alignment horizontal="center" vertical="center"/>
    </xf>
    <xf numFmtId="0" fontId="13" fillId="11" borderId="15" xfId="0" applyFont="1" applyFill="1" applyBorder="1" applyAlignment="1">
      <alignment vertical="center"/>
    </xf>
    <xf numFmtId="0" fontId="13" fillId="11" borderId="0" xfId="0" applyFont="1" applyFill="1" applyAlignment="1">
      <alignment vertical="center"/>
    </xf>
    <xf numFmtId="10" fontId="13" fillId="11" borderId="15" xfId="0" applyNumberFormat="1" applyFont="1" applyFill="1" applyBorder="1" applyAlignment="1">
      <alignment horizontal="center" vertical="center"/>
    </xf>
    <xf numFmtId="10" fontId="13" fillId="11" borderId="33" xfId="0" applyNumberFormat="1" applyFont="1" applyFill="1" applyBorder="1" applyAlignment="1">
      <alignment horizontal="center" vertical="center"/>
    </xf>
    <xf numFmtId="0" fontId="13" fillId="11" borderId="33" xfId="0" applyFont="1" applyFill="1" applyBorder="1" applyAlignment="1">
      <alignment horizontal="center" vertical="center"/>
    </xf>
    <xf numFmtId="0" fontId="30" fillId="11" borderId="44" xfId="0" applyFont="1" applyFill="1" applyBorder="1" applyAlignment="1">
      <alignment vertical="center"/>
    </xf>
    <xf numFmtId="0" fontId="30" fillId="11" borderId="52" xfId="0" applyFont="1" applyFill="1" applyBorder="1" applyAlignment="1">
      <alignment vertical="center"/>
    </xf>
    <xf numFmtId="1" fontId="30" fillId="11" borderId="74" xfId="0" applyNumberFormat="1" applyFont="1" applyFill="1" applyBorder="1" applyAlignment="1">
      <alignment horizontal="center" vertical="center"/>
    </xf>
    <xf numFmtId="1" fontId="13" fillId="11" borderId="52" xfId="0" applyNumberFormat="1" applyFont="1" applyFill="1" applyBorder="1" applyAlignment="1">
      <alignment horizontal="center" vertical="center"/>
    </xf>
    <xf numFmtId="1" fontId="30" fillId="6" borderId="0" xfId="0" applyNumberFormat="1" applyFont="1" applyFill="1" applyAlignment="1">
      <alignment horizontal="center" vertical="center"/>
    </xf>
    <xf numFmtId="3" fontId="30" fillId="11" borderId="28" xfId="0" applyNumberFormat="1" applyFont="1" applyFill="1" applyBorder="1" applyAlignment="1">
      <alignment horizontal="center" vertical="center"/>
    </xf>
    <xf numFmtId="0" fontId="30" fillId="11" borderId="75" xfId="0" applyFont="1" applyFill="1" applyBorder="1" applyAlignment="1">
      <alignment vertical="center"/>
    </xf>
    <xf numFmtId="0" fontId="30" fillId="11" borderId="8" xfId="0" applyFont="1" applyFill="1" applyBorder="1" applyAlignment="1">
      <alignment vertical="center"/>
    </xf>
    <xf numFmtId="1" fontId="30" fillId="11" borderId="28" xfId="0" applyNumberFormat="1" applyFont="1" applyFill="1" applyBorder="1" applyAlignment="1">
      <alignment horizontal="center" vertical="center"/>
    </xf>
    <xf numFmtId="1" fontId="13" fillId="11" borderId="8" xfId="0" applyNumberFormat="1" applyFont="1" applyFill="1" applyBorder="1" applyAlignment="1">
      <alignment horizontal="center" vertical="center"/>
    </xf>
    <xf numFmtId="1" fontId="30" fillId="11" borderId="41" xfId="0" applyNumberFormat="1" applyFont="1" applyFill="1" applyBorder="1" applyAlignment="1">
      <alignment horizontal="center" vertical="center"/>
    </xf>
    <xf numFmtId="10" fontId="30" fillId="6" borderId="0" xfId="0" applyNumberFormat="1" applyFont="1" applyFill="1" applyAlignment="1">
      <alignment horizontal="center" vertical="center"/>
    </xf>
    <xf numFmtId="0" fontId="30" fillId="11" borderId="15" xfId="0" applyFont="1" applyFill="1" applyBorder="1" applyAlignment="1">
      <alignment vertical="center"/>
    </xf>
    <xf numFmtId="0" fontId="30" fillId="11" borderId="0" xfId="0" applyFont="1" applyFill="1" applyAlignment="1">
      <alignment vertical="center"/>
    </xf>
    <xf numFmtId="1" fontId="30" fillId="11" borderId="33" xfId="0" applyNumberFormat="1" applyFont="1" applyFill="1" applyBorder="1" applyAlignment="1">
      <alignment horizontal="center" vertical="center"/>
    </xf>
    <xf numFmtId="1" fontId="13" fillId="11" borderId="33" xfId="0" applyNumberFormat="1" applyFont="1" applyFill="1" applyBorder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3" fontId="13" fillId="11" borderId="28" xfId="0" applyNumberFormat="1" applyFont="1" applyFill="1" applyBorder="1" applyAlignment="1">
      <alignment horizontal="center" vertical="center"/>
    </xf>
    <xf numFmtId="10" fontId="30" fillId="11" borderId="28" xfId="0" applyNumberFormat="1" applyFont="1" applyFill="1" applyBorder="1" applyAlignment="1">
      <alignment horizontal="center" vertical="center"/>
    </xf>
    <xf numFmtId="1" fontId="30" fillId="11" borderId="8" xfId="0" applyNumberFormat="1" applyFont="1" applyFill="1" applyBorder="1" applyAlignment="1">
      <alignment horizontal="center" vertical="center"/>
    </xf>
    <xf numFmtId="0" fontId="30" fillId="11" borderId="17" xfId="0" applyFont="1" applyFill="1" applyBorder="1" applyAlignment="1">
      <alignment vertical="center"/>
    </xf>
    <xf numFmtId="0" fontId="30" fillId="11" borderId="38" xfId="0" applyFont="1" applyFill="1" applyBorder="1" applyAlignment="1">
      <alignment vertical="center"/>
    </xf>
    <xf numFmtId="1" fontId="30" fillId="11" borderId="77" xfId="0" applyNumberFormat="1" applyFont="1" applyFill="1" applyBorder="1" applyAlignment="1">
      <alignment horizontal="center" vertical="center"/>
    </xf>
    <xf numFmtId="1" fontId="30" fillId="11" borderId="4" xfId="0" applyNumberFormat="1" applyFont="1" applyFill="1" applyBorder="1" applyAlignment="1">
      <alignment horizontal="center" vertical="center"/>
    </xf>
    <xf numFmtId="10" fontId="30" fillId="11" borderId="29" xfId="0" applyNumberFormat="1" applyFont="1" applyFill="1" applyBorder="1" applyAlignment="1">
      <alignment horizontal="center" vertical="center"/>
    </xf>
    <xf numFmtId="10" fontId="30" fillId="11" borderId="77" xfId="0" applyNumberFormat="1" applyFont="1" applyFill="1" applyBorder="1" applyAlignment="1">
      <alignment horizontal="center" vertical="center"/>
    </xf>
    <xf numFmtId="3" fontId="30" fillId="6" borderId="0" xfId="0" applyNumberFormat="1" applyFont="1" applyFill="1" applyAlignment="1">
      <alignment horizontal="center" vertical="center"/>
    </xf>
    <xf numFmtId="9" fontId="13" fillId="11" borderId="17" xfId="0" applyNumberFormat="1" applyFont="1" applyFill="1" applyBorder="1" applyAlignment="1">
      <alignment horizontal="center" vertical="center"/>
    </xf>
    <xf numFmtId="0" fontId="13" fillId="11" borderId="17" xfId="0" applyFont="1" applyFill="1" applyBorder="1" applyAlignment="1">
      <alignment horizontal="center" vertical="center"/>
    </xf>
    <xf numFmtId="0" fontId="13" fillId="11" borderId="23" xfId="0" applyFont="1" applyFill="1" applyBorder="1" applyAlignment="1">
      <alignment horizontal="center" vertical="center"/>
    </xf>
    <xf numFmtId="10" fontId="13" fillId="11" borderId="26" xfId="0" applyNumberFormat="1" applyFont="1" applyFill="1" applyBorder="1" applyAlignment="1">
      <alignment horizontal="center" vertical="center"/>
    </xf>
    <xf numFmtId="10" fontId="13" fillId="11" borderId="24" xfId="0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1" fontId="13" fillId="0" borderId="74" xfId="0" applyNumberFormat="1" applyFont="1" applyBorder="1" applyAlignment="1" applyProtection="1">
      <alignment horizontal="center" vertical="center"/>
      <protection locked="0"/>
    </xf>
    <xf numFmtId="1" fontId="13" fillId="0" borderId="28" xfId="0" applyNumberFormat="1" applyFont="1" applyBorder="1" applyAlignment="1" applyProtection="1">
      <alignment horizontal="center" vertical="center"/>
      <protection locked="0"/>
    </xf>
    <xf numFmtId="9" fontId="30" fillId="0" borderId="28" xfId="0" applyNumberFormat="1" applyFont="1" applyBorder="1" applyAlignment="1" applyProtection="1">
      <alignment horizontal="center" vertical="center"/>
      <protection locked="0"/>
    </xf>
    <xf numFmtId="9" fontId="30" fillId="0" borderId="58" xfId="0" applyNumberFormat="1" applyFont="1" applyBorder="1" applyAlignment="1" applyProtection="1">
      <alignment horizontal="center" vertical="center"/>
      <protection locked="0"/>
    </xf>
    <xf numFmtId="1" fontId="30" fillId="0" borderId="0" xfId="0" applyNumberFormat="1" applyFont="1" applyAlignment="1" applyProtection="1">
      <alignment horizontal="center" vertical="center"/>
      <protection locked="0"/>
    </xf>
    <xf numFmtId="3" fontId="30" fillId="0" borderId="28" xfId="0" applyNumberFormat="1" applyFont="1" applyBorder="1" applyAlignment="1" applyProtection="1">
      <alignment horizontal="center" vertical="center"/>
      <protection locked="0"/>
    </xf>
    <xf numFmtId="0" fontId="13" fillId="11" borderId="23" xfId="0" applyFont="1" applyFill="1" applyBorder="1" applyAlignment="1">
      <alignment vertical="center"/>
    </xf>
    <xf numFmtId="0" fontId="13" fillId="11" borderId="26" xfId="0" applyFont="1" applyFill="1" applyBorder="1" applyAlignment="1">
      <alignment vertical="center"/>
    </xf>
    <xf numFmtId="0" fontId="13" fillId="11" borderId="24" xfId="0" applyFont="1" applyFill="1" applyBorder="1" applyAlignment="1">
      <alignment vertical="center"/>
    </xf>
    <xf numFmtId="3" fontId="31" fillId="0" borderId="0" xfId="0" applyNumberFormat="1" applyFont="1" applyAlignment="1" applyProtection="1">
      <alignment vertical="center"/>
      <protection hidden="1"/>
    </xf>
    <xf numFmtId="164" fontId="4" fillId="2" borderId="34" xfId="2" applyNumberFormat="1" applyFont="1" applyFill="1" applyBorder="1" applyProtection="1">
      <protection locked="0"/>
    </xf>
    <xf numFmtId="199" fontId="30" fillId="11" borderId="28" xfId="0" applyNumberFormat="1" applyFont="1" applyFill="1" applyBorder="1" applyAlignment="1">
      <alignment horizontal="center" vertical="center"/>
    </xf>
    <xf numFmtId="2" fontId="0" fillId="0" borderId="5" xfId="0" applyNumberFormat="1" applyBorder="1"/>
    <xf numFmtId="188" fontId="30" fillId="11" borderId="77" xfId="0" applyNumberFormat="1" applyFont="1" applyFill="1" applyBorder="1" applyAlignment="1">
      <alignment horizontal="center" vertical="center"/>
    </xf>
    <xf numFmtId="3" fontId="13" fillId="11" borderId="77" xfId="0" applyNumberFormat="1" applyFont="1" applyFill="1" applyBorder="1" applyAlignment="1">
      <alignment horizontal="center" vertical="center"/>
    </xf>
    <xf numFmtId="171" fontId="31" fillId="0" borderId="5" xfId="0" applyNumberFormat="1" applyFont="1" applyBorder="1" applyAlignment="1">
      <alignment vertical="center"/>
    </xf>
    <xf numFmtId="171" fontId="31" fillId="0" borderId="1" xfId="0" applyNumberFormat="1" applyFont="1" applyBorder="1" applyAlignment="1">
      <alignment vertical="center"/>
    </xf>
    <xf numFmtId="177" fontId="31" fillId="0" borderId="2" xfId="0" applyNumberFormat="1" applyFont="1" applyBorder="1" applyAlignment="1" applyProtection="1">
      <alignment horizontal="left" vertical="center"/>
      <protection hidden="1"/>
    </xf>
    <xf numFmtId="0" fontId="31" fillId="0" borderId="1" xfId="0" applyFont="1" applyBorder="1" applyAlignment="1">
      <alignment vertical="center"/>
    </xf>
    <xf numFmtId="0" fontId="31" fillId="0" borderId="8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194" fontId="4" fillId="12" borderId="1" xfId="0" applyNumberFormat="1" applyFont="1" applyFill="1" applyBorder="1"/>
    <xf numFmtId="0" fontId="4" fillId="12" borderId="8" xfId="0" applyFont="1" applyFill="1" applyBorder="1"/>
    <xf numFmtId="0" fontId="4" fillId="12" borderId="2" xfId="0" applyFont="1" applyFill="1" applyBorder="1"/>
    <xf numFmtId="194" fontId="4" fillId="12" borderId="5" xfId="0" applyNumberFormat="1" applyFont="1" applyFill="1" applyBorder="1"/>
    <xf numFmtId="0" fontId="4" fillId="12" borderId="5" xfId="0" applyFont="1" applyFill="1" applyBorder="1" applyAlignment="1" applyProtection="1">
      <alignment horizontal="center"/>
      <protection locked="0"/>
    </xf>
    <xf numFmtId="17" fontId="4" fillId="12" borderId="5" xfId="0" applyNumberFormat="1" applyFont="1" applyFill="1" applyBorder="1" applyProtection="1">
      <protection locked="0"/>
    </xf>
    <xf numFmtId="2" fontId="4" fillId="12" borderId="5" xfId="0" applyNumberFormat="1" applyFont="1" applyFill="1" applyBorder="1" applyProtection="1">
      <protection locked="0"/>
    </xf>
    <xf numFmtId="170" fontId="4" fillId="12" borderId="5" xfId="0" applyNumberFormat="1" applyFont="1" applyFill="1" applyBorder="1"/>
    <xf numFmtId="14" fontId="4" fillId="12" borderId="1" xfId="0" applyNumberFormat="1" applyFont="1" applyFill="1" applyBorder="1" applyAlignment="1" applyProtection="1">
      <alignment horizontal="centerContinuous"/>
      <protection locked="0"/>
    </xf>
    <xf numFmtId="0" fontId="4" fillId="12" borderId="2" xfId="0" applyFont="1" applyFill="1" applyBorder="1" applyAlignment="1">
      <alignment horizontal="centerContinuous"/>
    </xf>
    <xf numFmtId="170" fontId="4" fillId="12" borderId="5" xfId="0" applyNumberFormat="1" applyFont="1" applyFill="1" applyBorder="1" applyProtection="1">
      <protection locked="0"/>
    </xf>
    <xf numFmtId="17" fontId="4" fillId="12" borderId="64" xfId="1" applyNumberFormat="1" applyFont="1" applyFill="1" applyBorder="1" applyProtection="1">
      <alignment horizontal="center"/>
      <protection locked="0"/>
    </xf>
    <xf numFmtId="170" fontId="4" fillId="12" borderId="65" xfId="0" applyNumberFormat="1" applyFont="1" applyFill="1" applyBorder="1" applyProtection="1">
      <protection locked="0"/>
    </xf>
    <xf numFmtId="17" fontId="4" fillId="12" borderId="44" xfId="1" applyNumberFormat="1" applyFont="1" applyFill="1" applyBorder="1" applyProtection="1">
      <alignment horizontal="center"/>
      <protection locked="0"/>
    </xf>
    <xf numFmtId="17" fontId="4" fillId="12" borderId="64" xfId="0" applyNumberFormat="1" applyFont="1" applyFill="1" applyBorder="1" applyProtection="1">
      <protection locked="0"/>
    </xf>
    <xf numFmtId="17" fontId="4" fillId="12" borderId="36" xfId="1" applyNumberFormat="1" applyFont="1" applyFill="1" applyBorder="1" applyProtection="1">
      <alignment horizontal="center"/>
      <protection locked="0"/>
    </xf>
    <xf numFmtId="170" fontId="4" fillId="12" borderId="37" xfId="0" applyNumberFormat="1" applyFont="1" applyFill="1" applyBorder="1" applyProtection="1">
      <protection locked="0"/>
    </xf>
    <xf numFmtId="17" fontId="4" fillId="12" borderId="17" xfId="1" applyNumberFormat="1" applyFont="1" applyFill="1" applyBorder="1" applyProtection="1">
      <alignment horizontal="center"/>
      <protection locked="0"/>
    </xf>
    <xf numFmtId="17" fontId="4" fillId="12" borderId="36" xfId="0" applyNumberFormat="1" applyFont="1" applyFill="1" applyBorder="1" applyProtection="1">
      <protection locked="0"/>
    </xf>
    <xf numFmtId="17" fontId="4" fillId="12" borderId="30" xfId="1" applyNumberFormat="1" applyFont="1" applyFill="1" applyBorder="1" applyProtection="1">
      <alignment horizontal="center"/>
      <protection locked="0"/>
    </xf>
    <xf numFmtId="170" fontId="4" fillId="12" borderId="14" xfId="0" applyNumberFormat="1" applyFont="1" applyFill="1" applyBorder="1" applyProtection="1">
      <protection locked="0"/>
    </xf>
    <xf numFmtId="17" fontId="4" fillId="12" borderId="13" xfId="1" applyNumberFormat="1" applyFont="1" applyFill="1" applyBorder="1" applyProtection="1">
      <alignment horizontal="center"/>
      <protection locked="0"/>
    </xf>
    <xf numFmtId="170" fontId="4" fillId="12" borderId="31" xfId="0" applyNumberFormat="1" applyFont="1" applyFill="1" applyBorder="1" applyProtection="1">
      <protection locked="0"/>
    </xf>
    <xf numFmtId="17" fontId="4" fillId="12" borderId="13" xfId="0" applyNumberFormat="1" applyFont="1" applyFill="1" applyBorder="1" applyProtection="1">
      <protection locked="0"/>
    </xf>
    <xf numFmtId="17" fontId="4" fillId="12" borderId="32" xfId="0" applyNumberFormat="1" applyFont="1" applyFill="1" applyBorder="1" applyProtection="1">
      <protection locked="0"/>
    </xf>
    <xf numFmtId="17" fontId="4" fillId="12" borderId="34" xfId="1" applyNumberFormat="1" applyFont="1" applyFill="1" applyBorder="1" applyProtection="1">
      <alignment horizontal="center"/>
      <protection locked="0"/>
    </xf>
    <xf numFmtId="170" fontId="4" fillId="12" borderId="16" xfId="0" applyNumberFormat="1" applyFont="1" applyFill="1" applyBorder="1" applyProtection="1">
      <protection locked="0"/>
    </xf>
    <xf numFmtId="17" fontId="4" fillId="12" borderId="15" xfId="1" applyNumberFormat="1" applyFont="1" applyFill="1" applyBorder="1" applyProtection="1">
      <alignment horizontal="center"/>
      <protection locked="0"/>
    </xf>
    <xf numFmtId="170" fontId="4" fillId="12" borderId="35" xfId="0" applyNumberFormat="1" applyFont="1" applyFill="1" applyBorder="1" applyProtection="1">
      <protection locked="0"/>
    </xf>
    <xf numFmtId="17" fontId="4" fillId="12" borderId="15" xfId="0" applyNumberFormat="1" applyFont="1" applyFill="1" applyBorder="1" applyProtection="1">
      <protection locked="0"/>
    </xf>
    <xf numFmtId="170" fontId="4" fillId="12" borderId="18" xfId="0" applyNumberFormat="1" applyFont="1" applyFill="1" applyBorder="1" applyProtection="1">
      <protection locked="0"/>
    </xf>
    <xf numFmtId="17" fontId="4" fillId="12" borderId="17" xfId="0" applyNumberFormat="1" applyFont="1" applyFill="1" applyBorder="1" applyProtection="1">
      <protection locked="0"/>
    </xf>
    <xf numFmtId="17" fontId="4" fillId="12" borderId="30" xfId="0" applyNumberFormat="1" applyFont="1" applyFill="1" applyBorder="1" applyProtection="1">
      <protection locked="0"/>
    </xf>
    <xf numFmtId="17" fontId="4" fillId="12" borderId="34" xfId="0" applyNumberFormat="1" applyFont="1" applyFill="1" applyBorder="1" applyProtection="1">
      <protection locked="0"/>
    </xf>
    <xf numFmtId="17" fontId="4" fillId="12" borderId="39" xfId="1" applyNumberFormat="1" applyFont="1" applyFill="1" applyBorder="1" applyProtection="1">
      <alignment horizontal="center"/>
      <protection locked="0"/>
    </xf>
    <xf numFmtId="17" fontId="4" fillId="12" borderId="9" xfId="1" applyNumberFormat="1" applyFont="1" applyFill="1" applyBorder="1" applyProtection="1">
      <alignment horizontal="center"/>
      <protection locked="0"/>
    </xf>
    <xf numFmtId="17" fontId="4" fillId="12" borderId="40" xfId="1" applyNumberFormat="1" applyFont="1" applyFill="1" applyBorder="1" applyProtection="1">
      <alignment horizontal="center"/>
      <protection locked="0"/>
    </xf>
    <xf numFmtId="17" fontId="4" fillId="12" borderId="124" xfId="0" applyNumberFormat="1" applyFont="1" applyFill="1" applyBorder="1" applyProtection="1">
      <protection locked="0"/>
    </xf>
    <xf numFmtId="17" fontId="4" fillId="12" borderId="22" xfId="0" applyNumberFormat="1" applyFont="1" applyFill="1" applyBorder="1" applyProtection="1">
      <protection locked="0"/>
    </xf>
    <xf numFmtId="17" fontId="4" fillId="12" borderId="79" xfId="0" applyNumberFormat="1" applyFont="1" applyFill="1" applyBorder="1" applyProtection="1">
      <protection locked="0"/>
    </xf>
    <xf numFmtId="170" fontId="4" fillId="12" borderId="31" xfId="0" applyNumberFormat="1" applyFont="1" applyFill="1" applyBorder="1"/>
    <xf numFmtId="170" fontId="4" fillId="12" borderId="35" xfId="0" applyNumberFormat="1" applyFont="1" applyFill="1" applyBorder="1"/>
    <xf numFmtId="170" fontId="4" fillId="12" borderId="37" xfId="0" applyNumberFormat="1" applyFont="1" applyFill="1" applyBorder="1"/>
    <xf numFmtId="17" fontId="4" fillId="12" borderId="4" xfId="0" applyNumberFormat="1" applyFont="1" applyFill="1" applyBorder="1" applyAlignment="1" applyProtection="1">
      <alignment horizontal="center"/>
      <protection locked="0"/>
    </xf>
    <xf numFmtId="17" fontId="4" fillId="12" borderId="2" xfId="0" applyNumberFormat="1" applyFont="1" applyFill="1" applyBorder="1" applyAlignment="1" applyProtection="1">
      <alignment horizontal="center"/>
      <protection locked="0"/>
    </xf>
    <xf numFmtId="17" fontId="4" fillId="12" borderId="11" xfId="0" applyNumberFormat="1" applyFont="1" applyFill="1" applyBorder="1" applyAlignment="1" applyProtection="1">
      <alignment horizontal="center"/>
      <protection locked="0"/>
    </xf>
    <xf numFmtId="17" fontId="4" fillId="12" borderId="8" xfId="0" applyNumberFormat="1" applyFont="1" applyFill="1" applyBorder="1" applyAlignment="1" applyProtection="1">
      <alignment horizontal="center"/>
      <protection locked="0"/>
    </xf>
    <xf numFmtId="0" fontId="4" fillId="12" borderId="5" xfId="0" applyFont="1" applyFill="1" applyBorder="1" applyProtection="1">
      <protection locked="0"/>
    </xf>
    <xf numFmtId="10" fontId="4" fillId="12" borderId="5" xfId="0" applyNumberFormat="1" applyFont="1" applyFill="1" applyBorder="1" applyProtection="1">
      <protection locked="0"/>
    </xf>
    <xf numFmtId="10" fontId="4" fillId="12" borderId="31" xfId="0" applyNumberFormat="1" applyFont="1" applyFill="1" applyBorder="1" applyProtection="1">
      <protection locked="0"/>
    </xf>
    <xf numFmtId="10" fontId="4" fillId="12" borderId="37" xfId="0" applyNumberFormat="1" applyFont="1" applyFill="1" applyBorder="1" applyProtection="1">
      <protection locked="0"/>
    </xf>
    <xf numFmtId="10" fontId="4" fillId="12" borderId="35" xfId="0" applyNumberFormat="1" applyFont="1" applyFill="1" applyBorder="1" applyProtection="1">
      <protection locked="0"/>
    </xf>
    <xf numFmtId="3" fontId="4" fillId="13" borderId="5" xfId="0" applyNumberFormat="1" applyFont="1" applyFill="1" applyBorder="1"/>
    <xf numFmtId="10" fontId="4" fillId="13" borderId="1" xfId="0" applyNumberFormat="1" applyFont="1" applyFill="1" applyBorder="1" applyAlignment="1">
      <alignment horizontal="centerContinuous"/>
    </xf>
    <xf numFmtId="10" fontId="4" fillId="13" borderId="2" xfId="0" applyNumberFormat="1" applyFont="1" applyFill="1" applyBorder="1" applyAlignment="1">
      <alignment horizontal="centerContinuous"/>
    </xf>
    <xf numFmtId="10" fontId="4" fillId="13" borderId="3" xfId="2" applyNumberFormat="1" applyFont="1" applyFill="1" applyBorder="1" applyAlignment="1">
      <alignment horizontal="centerContinuous"/>
    </xf>
    <xf numFmtId="10" fontId="4" fillId="13" borderId="2" xfId="2" applyNumberFormat="1" applyFont="1" applyFill="1" applyBorder="1" applyAlignment="1">
      <alignment horizontal="centerContinuous"/>
    </xf>
    <xf numFmtId="3" fontId="4" fillId="13" borderId="5" xfId="2" applyNumberFormat="1" applyFont="1" applyFill="1" applyBorder="1"/>
    <xf numFmtId="0" fontId="4" fillId="13" borderId="5" xfId="0" applyFont="1" applyFill="1" applyBorder="1" applyProtection="1">
      <protection hidden="1"/>
    </xf>
    <xf numFmtId="10" fontId="4" fillId="13" borderId="5" xfId="2" applyNumberFormat="1" applyFont="1" applyFill="1" applyBorder="1"/>
    <xf numFmtId="3" fontId="4" fillId="13" borderId="5" xfId="2" applyNumberFormat="1" applyFont="1" applyFill="1" applyBorder="1" applyProtection="1">
      <protection hidden="1"/>
    </xf>
    <xf numFmtId="17" fontId="4" fillId="13" borderId="5" xfId="0" applyNumberFormat="1" applyFont="1" applyFill="1" applyBorder="1"/>
    <xf numFmtId="10" fontId="4" fillId="13" borderId="5" xfId="0" applyNumberFormat="1" applyFont="1" applyFill="1" applyBorder="1"/>
    <xf numFmtId="196" fontId="4" fillId="13" borderId="56" xfId="0" applyNumberFormat="1" applyFont="1" applyFill="1" applyBorder="1" applyProtection="1">
      <protection hidden="1"/>
    </xf>
    <xf numFmtId="168" fontId="4" fillId="13" borderId="27" xfId="0" applyNumberFormat="1" applyFont="1" applyFill="1" applyBorder="1" applyProtection="1">
      <protection hidden="1"/>
    </xf>
    <xf numFmtId="197" fontId="4" fillId="13" borderId="56" xfId="0" applyNumberFormat="1" applyFont="1" applyFill="1" applyBorder="1" applyProtection="1">
      <protection hidden="1"/>
    </xf>
    <xf numFmtId="197" fontId="4" fillId="13" borderId="33" xfId="0" applyNumberFormat="1" applyFont="1" applyFill="1" applyBorder="1" applyProtection="1">
      <protection hidden="1"/>
    </xf>
    <xf numFmtId="197" fontId="4" fillId="13" borderId="58" xfId="0" applyNumberFormat="1" applyFont="1" applyFill="1" applyBorder="1" applyProtection="1">
      <protection hidden="1"/>
    </xf>
    <xf numFmtId="197" fontId="4" fillId="8" borderId="20" xfId="0" applyNumberFormat="1" applyFont="1" applyFill="1" applyBorder="1"/>
    <xf numFmtId="196" fontId="4" fillId="13" borderId="33" xfId="0" applyNumberFormat="1" applyFont="1" applyFill="1" applyBorder="1" applyProtection="1">
      <protection hidden="1"/>
    </xf>
    <xf numFmtId="196" fontId="4" fillId="8" borderId="5" xfId="0" applyNumberFormat="1" applyFont="1" applyFill="1" applyBorder="1"/>
    <xf numFmtId="196" fontId="4" fillId="13" borderId="5" xfId="0" applyNumberFormat="1" applyFont="1" applyFill="1" applyBorder="1"/>
    <xf numFmtId="0" fontId="4" fillId="0" borderId="52" xfId="0" applyFont="1" applyBorder="1"/>
    <xf numFmtId="0" fontId="43" fillId="0" borderId="0" xfId="0" applyFont="1" applyAlignment="1" applyProtection="1">
      <alignment vertical="center"/>
      <protection hidden="1"/>
    </xf>
    <xf numFmtId="177" fontId="44" fillId="0" borderId="0" xfId="0" applyNumberFormat="1" applyFont="1" applyAlignment="1" applyProtection="1">
      <alignment vertical="center"/>
      <protection hidden="1"/>
    </xf>
    <xf numFmtId="0" fontId="44" fillId="0" borderId="0" xfId="0" applyFont="1" applyAlignment="1" applyProtection="1">
      <alignment vertical="center"/>
      <protection hidden="1"/>
    </xf>
    <xf numFmtId="0" fontId="15" fillId="11" borderId="23" xfId="0" applyFont="1" applyFill="1" applyBorder="1" applyAlignment="1" applyProtection="1">
      <alignment vertical="center"/>
      <protection hidden="1"/>
    </xf>
    <xf numFmtId="0" fontId="15" fillId="11" borderId="26" xfId="0" applyFont="1" applyFill="1" applyBorder="1" applyAlignment="1" applyProtection="1">
      <alignment vertical="center"/>
      <protection hidden="1"/>
    </xf>
    <xf numFmtId="0" fontId="15" fillId="11" borderId="24" xfId="0" applyFont="1" applyFill="1" applyBorder="1" applyAlignment="1" applyProtection="1">
      <alignment vertical="center"/>
      <protection hidden="1"/>
    </xf>
    <xf numFmtId="0" fontId="15" fillId="11" borderId="13" xfId="0" applyFont="1" applyFill="1" applyBorder="1" applyAlignment="1" applyProtection="1">
      <alignment vertical="center"/>
      <protection hidden="1"/>
    </xf>
    <xf numFmtId="0" fontId="15" fillId="11" borderId="32" xfId="0" applyFont="1" applyFill="1" applyBorder="1" applyAlignment="1" applyProtection="1">
      <alignment vertical="center"/>
      <protection hidden="1"/>
    </xf>
    <xf numFmtId="10" fontId="15" fillId="11" borderId="13" xfId="0" applyNumberFormat="1" applyFont="1" applyFill="1" applyBorder="1" applyAlignment="1" applyProtection="1">
      <alignment horizontal="center" vertical="center"/>
      <protection hidden="1"/>
    </xf>
    <xf numFmtId="10" fontId="15" fillId="11" borderId="56" xfId="0" applyNumberFormat="1" applyFont="1" applyFill="1" applyBorder="1" applyAlignment="1" applyProtection="1">
      <alignment horizontal="center" vertical="center"/>
      <protection hidden="1"/>
    </xf>
    <xf numFmtId="0" fontId="15" fillId="11" borderId="15" xfId="0" applyFont="1" applyFill="1" applyBorder="1" applyAlignment="1" applyProtection="1">
      <alignment vertical="center"/>
      <protection hidden="1"/>
    </xf>
    <xf numFmtId="0" fontId="15" fillId="11" borderId="0" xfId="0" applyFont="1" applyFill="1" applyAlignment="1" applyProtection="1">
      <alignment vertical="center"/>
      <protection hidden="1"/>
    </xf>
    <xf numFmtId="10" fontId="15" fillId="11" borderId="15" xfId="0" applyNumberFormat="1" applyFont="1" applyFill="1" applyBorder="1" applyAlignment="1" applyProtection="1">
      <alignment horizontal="center" vertical="center"/>
      <protection hidden="1"/>
    </xf>
    <xf numFmtId="10" fontId="15" fillId="11" borderId="33" xfId="0" applyNumberFormat="1" applyFont="1" applyFill="1" applyBorder="1" applyAlignment="1" applyProtection="1">
      <alignment horizontal="center" vertical="center"/>
      <protection hidden="1"/>
    </xf>
    <xf numFmtId="0" fontId="45" fillId="11" borderId="44" xfId="0" applyFont="1" applyFill="1" applyBorder="1" applyAlignment="1" applyProtection="1">
      <alignment vertical="center"/>
      <protection hidden="1"/>
    </xf>
    <xf numFmtId="0" fontId="45" fillId="11" borderId="52" xfId="0" applyFont="1" applyFill="1" applyBorder="1" applyAlignment="1" applyProtection="1">
      <alignment vertical="center"/>
      <protection hidden="1"/>
    </xf>
    <xf numFmtId="1" fontId="45" fillId="11" borderId="56" xfId="0" applyNumberFormat="1" applyFont="1" applyFill="1" applyBorder="1" applyAlignment="1" applyProtection="1">
      <alignment horizontal="center" vertical="center"/>
      <protection hidden="1"/>
    </xf>
    <xf numFmtId="1" fontId="15" fillId="0" borderId="56" xfId="0" applyNumberFormat="1" applyFont="1" applyBorder="1" applyAlignment="1" applyProtection="1">
      <alignment horizontal="center" vertical="center"/>
      <protection hidden="1"/>
    </xf>
    <xf numFmtId="1" fontId="15" fillId="11" borderId="32" xfId="0" applyNumberFormat="1" applyFont="1" applyFill="1" applyBorder="1" applyAlignment="1" applyProtection="1">
      <alignment horizontal="center" vertical="center"/>
      <protection hidden="1"/>
    </xf>
    <xf numFmtId="1" fontId="15" fillId="11" borderId="56" xfId="0" applyNumberFormat="1" applyFont="1" applyFill="1" applyBorder="1" applyAlignment="1" applyProtection="1">
      <alignment horizontal="center" vertical="center"/>
      <protection hidden="1"/>
    </xf>
    <xf numFmtId="0" fontId="45" fillId="11" borderId="75" xfId="0" applyFont="1" applyFill="1" applyBorder="1" applyAlignment="1" applyProtection="1">
      <alignment vertical="center"/>
      <protection hidden="1"/>
    </xf>
    <xf numFmtId="0" fontId="45" fillId="11" borderId="8" xfId="0" applyFont="1" applyFill="1" applyBorder="1" applyAlignment="1" applyProtection="1">
      <alignment vertical="center"/>
      <protection hidden="1"/>
    </xf>
    <xf numFmtId="1" fontId="45" fillId="11" borderId="28" xfId="0" applyNumberFormat="1" applyFont="1" applyFill="1" applyBorder="1" applyAlignment="1" applyProtection="1">
      <alignment horizontal="center" vertical="center"/>
      <protection hidden="1"/>
    </xf>
    <xf numFmtId="1" fontId="15" fillId="0" borderId="28" xfId="0" applyNumberFormat="1" applyFont="1" applyBorder="1" applyAlignment="1" applyProtection="1">
      <alignment horizontal="center" vertical="center"/>
      <protection hidden="1"/>
    </xf>
    <xf numFmtId="1" fontId="15" fillId="11" borderId="8" xfId="0" applyNumberFormat="1" applyFont="1" applyFill="1" applyBorder="1" applyAlignment="1" applyProtection="1">
      <alignment horizontal="center" vertical="center"/>
      <protection hidden="1"/>
    </xf>
    <xf numFmtId="1" fontId="15" fillId="11" borderId="28" xfId="0" applyNumberFormat="1" applyFont="1" applyFill="1" applyBorder="1" applyAlignment="1" applyProtection="1">
      <alignment horizontal="center" vertical="center"/>
      <protection hidden="1"/>
    </xf>
    <xf numFmtId="0" fontId="45" fillId="11" borderId="15" xfId="0" applyFont="1" applyFill="1" applyBorder="1" applyAlignment="1" applyProtection="1">
      <alignment vertical="center"/>
      <protection hidden="1"/>
    </xf>
    <xf numFmtId="0" fontId="45" fillId="11" borderId="0" xfId="0" applyFont="1" applyFill="1" applyAlignment="1" applyProtection="1">
      <alignment vertical="center"/>
      <protection hidden="1"/>
    </xf>
    <xf numFmtId="1" fontId="45" fillId="0" borderId="0" xfId="0" applyNumberFormat="1" applyFont="1" applyAlignment="1" applyProtection="1">
      <alignment horizontal="center" vertical="center"/>
      <protection hidden="1"/>
    </xf>
    <xf numFmtId="9" fontId="45" fillId="0" borderId="28" xfId="0" applyNumberFormat="1" applyFont="1" applyBorder="1" applyAlignment="1" applyProtection="1">
      <alignment horizontal="center" vertical="center"/>
      <protection hidden="1"/>
    </xf>
    <xf numFmtId="1" fontId="15" fillId="11" borderId="66" xfId="0" applyNumberFormat="1" applyFont="1" applyFill="1" applyBorder="1" applyAlignment="1" applyProtection="1">
      <alignment horizontal="center" vertical="center"/>
      <protection hidden="1"/>
    </xf>
    <xf numFmtId="3" fontId="45" fillId="0" borderId="28" xfId="0" applyNumberFormat="1" applyFont="1" applyBorder="1" applyAlignment="1" applyProtection="1">
      <alignment horizontal="center" vertical="center"/>
      <protection hidden="1"/>
    </xf>
    <xf numFmtId="0" fontId="45" fillId="11" borderId="17" xfId="0" applyFont="1" applyFill="1" applyBorder="1" applyAlignment="1" applyProtection="1">
      <alignment vertical="center"/>
      <protection hidden="1"/>
    </xf>
    <xf numFmtId="0" fontId="45" fillId="11" borderId="38" xfId="0" applyFont="1" applyFill="1" applyBorder="1" applyAlignment="1" applyProtection="1">
      <alignment vertical="center"/>
      <protection hidden="1"/>
    </xf>
    <xf numFmtId="9" fontId="45" fillId="0" borderId="77" xfId="0" applyNumberFormat="1" applyFont="1" applyBorder="1" applyAlignment="1" applyProtection="1">
      <alignment horizontal="center" vertical="center"/>
      <protection hidden="1"/>
    </xf>
    <xf numFmtId="1" fontId="15" fillId="11" borderId="77" xfId="0" applyNumberFormat="1" applyFont="1" applyFill="1" applyBorder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vertical="center"/>
      <protection hidden="1"/>
    </xf>
    <xf numFmtId="180" fontId="45" fillId="0" borderId="0" xfId="0" applyNumberFormat="1" applyFont="1" applyAlignment="1" applyProtection="1">
      <alignment vertical="center"/>
      <protection hidden="1"/>
    </xf>
    <xf numFmtId="9" fontId="15" fillId="11" borderId="17" xfId="0" applyNumberFormat="1" applyFont="1" applyFill="1" applyBorder="1" applyAlignment="1" applyProtection="1">
      <alignment horizontal="center" vertical="center"/>
      <protection hidden="1"/>
    </xf>
    <xf numFmtId="1" fontId="15" fillId="11" borderId="27" xfId="0" applyNumberFormat="1" applyFont="1" applyFill="1" applyBorder="1" applyAlignment="1" applyProtection="1">
      <alignment horizontal="center" vertical="center"/>
      <protection hidden="1"/>
    </xf>
    <xf numFmtId="0" fontId="15" fillId="11" borderId="23" xfId="0" applyFont="1" applyFill="1" applyBorder="1" applyAlignment="1" applyProtection="1">
      <alignment horizontal="center" vertical="center"/>
      <protection hidden="1"/>
    </xf>
    <xf numFmtId="10" fontId="15" fillId="11" borderId="26" xfId="0" applyNumberFormat="1" applyFont="1" applyFill="1" applyBorder="1" applyAlignment="1" applyProtection="1">
      <alignment horizontal="center" vertical="center"/>
      <protection hidden="1"/>
    </xf>
    <xf numFmtId="10" fontId="15" fillId="11" borderId="24" xfId="0" applyNumberFormat="1" applyFont="1" applyFill="1" applyBorder="1" applyAlignment="1" applyProtection="1">
      <alignment horizontal="center" vertical="center"/>
      <protection hidden="1"/>
    </xf>
    <xf numFmtId="10" fontId="15" fillId="6" borderId="0" xfId="0" applyNumberFormat="1" applyFont="1" applyFill="1" applyAlignment="1" applyProtection="1">
      <alignment horizontal="center" vertical="center"/>
      <protection hidden="1"/>
    </xf>
    <xf numFmtId="0" fontId="15" fillId="11" borderId="56" xfId="0" applyFont="1" applyFill="1" applyBorder="1" applyAlignment="1" applyProtection="1">
      <alignment horizontal="center" vertical="center"/>
      <protection hidden="1"/>
    </xf>
    <xf numFmtId="199" fontId="45" fillId="11" borderId="28" xfId="0" applyNumberFormat="1" applyFont="1" applyFill="1" applyBorder="1" applyAlignment="1" applyProtection="1">
      <alignment horizontal="center" vertical="center"/>
      <protection hidden="1"/>
    </xf>
    <xf numFmtId="199" fontId="45" fillId="11" borderId="41" xfId="0" applyNumberFormat="1" applyFont="1" applyFill="1" applyBorder="1" applyAlignment="1" applyProtection="1">
      <alignment horizontal="center" vertical="center"/>
      <protection hidden="1"/>
    </xf>
    <xf numFmtId="0" fontId="15" fillId="11" borderId="58" xfId="0" applyFont="1" applyFill="1" applyBorder="1" applyAlignment="1" applyProtection="1">
      <alignment horizontal="center" vertical="center"/>
      <protection hidden="1"/>
    </xf>
    <xf numFmtId="188" fontId="45" fillId="11" borderId="77" xfId="0" applyNumberFormat="1" applyFont="1" applyFill="1" applyBorder="1" applyAlignment="1">
      <alignment horizontal="center" vertical="center"/>
    </xf>
    <xf numFmtId="0" fontId="30" fillId="11" borderId="13" xfId="0" applyFont="1" applyFill="1" applyBorder="1"/>
    <xf numFmtId="0" fontId="30" fillId="11" borderId="32" xfId="0" applyFont="1" applyFill="1" applyBorder="1"/>
    <xf numFmtId="0" fontId="30" fillId="11" borderId="14" xfId="0" applyFont="1" applyFill="1" applyBorder="1"/>
    <xf numFmtId="3" fontId="13" fillId="11" borderId="5" xfId="0" applyNumberFormat="1" applyFont="1" applyFill="1" applyBorder="1" applyAlignment="1" applyProtection="1">
      <alignment horizontal="center" vertical="center"/>
      <protection hidden="1"/>
    </xf>
    <xf numFmtId="0" fontId="30" fillId="11" borderId="0" xfId="0" applyFont="1" applyFill="1"/>
    <xf numFmtId="0" fontId="30" fillId="11" borderId="16" xfId="0" applyFont="1" applyFill="1" applyBorder="1"/>
    <xf numFmtId="0" fontId="30" fillId="11" borderId="17" xfId="0" applyFont="1" applyFill="1" applyBorder="1"/>
    <xf numFmtId="3" fontId="30" fillId="11" borderId="38" xfId="0" applyNumberFormat="1" applyFont="1" applyFill="1" applyBorder="1"/>
    <xf numFmtId="0" fontId="30" fillId="11" borderId="38" xfId="0" applyFont="1" applyFill="1" applyBorder="1"/>
    <xf numFmtId="0" fontId="30" fillId="11" borderId="28" xfId="0" applyFont="1" applyFill="1" applyBorder="1" applyAlignment="1">
      <alignment horizontal="left" vertical="center"/>
    </xf>
    <xf numFmtId="3" fontId="30" fillId="11" borderId="41" xfId="0" applyNumberFormat="1" applyFont="1" applyFill="1" applyBorder="1" applyAlignment="1">
      <alignment horizontal="center" vertical="center"/>
    </xf>
    <xf numFmtId="10" fontId="30" fillId="11" borderId="41" xfId="0" applyNumberFormat="1" applyFont="1" applyFill="1" applyBorder="1" applyAlignment="1">
      <alignment horizontal="center" vertical="center"/>
    </xf>
    <xf numFmtId="3" fontId="30" fillId="11" borderId="33" xfId="0" applyNumberFormat="1" applyFont="1" applyFill="1" applyBorder="1" applyAlignment="1">
      <alignment horizontal="center" vertical="center"/>
    </xf>
    <xf numFmtId="0" fontId="30" fillId="11" borderId="29" xfId="0" applyFont="1" applyFill="1" applyBorder="1" applyAlignment="1">
      <alignment horizontal="left" vertical="center"/>
    </xf>
    <xf numFmtId="3" fontId="30" fillId="11" borderId="29" xfId="0" applyNumberFormat="1" applyFont="1" applyFill="1" applyBorder="1" applyAlignment="1">
      <alignment horizontal="center" vertical="center"/>
    </xf>
    <xf numFmtId="0" fontId="13" fillId="11" borderId="27" xfId="0" applyFont="1" applyFill="1" applyBorder="1" applyAlignment="1">
      <alignment horizontal="right"/>
    </xf>
    <xf numFmtId="3" fontId="13" fillId="11" borderId="27" xfId="0" applyNumberFormat="1" applyFont="1" applyFill="1" applyBorder="1" applyAlignment="1" applyProtection="1">
      <alignment horizontal="center" vertical="center"/>
      <protection hidden="1"/>
    </xf>
    <xf numFmtId="0" fontId="30" fillId="11" borderId="27" xfId="0" applyFont="1" applyFill="1" applyBorder="1" applyAlignment="1">
      <alignment horizontal="center"/>
    </xf>
    <xf numFmtId="3" fontId="13" fillId="11" borderId="27" xfId="0" applyNumberFormat="1" applyFont="1" applyFill="1" applyBorder="1" applyAlignment="1">
      <alignment horizontal="center"/>
    </xf>
    <xf numFmtId="10" fontId="30" fillId="0" borderId="28" xfId="0" applyNumberFormat="1" applyFont="1" applyBorder="1" applyAlignment="1" applyProtection="1">
      <alignment horizontal="center" vertical="center"/>
      <protection locked="0"/>
    </xf>
    <xf numFmtId="10" fontId="30" fillId="0" borderId="33" xfId="0" applyNumberFormat="1" applyFont="1" applyBorder="1" applyAlignment="1" applyProtection="1">
      <alignment horizontal="center" vertical="center"/>
      <protection locked="0"/>
    </xf>
    <xf numFmtId="0" fontId="30" fillId="0" borderId="33" xfId="0" applyFont="1" applyBorder="1" applyAlignment="1" applyProtection="1">
      <alignment horizontal="left" vertical="center"/>
      <protection locked="0"/>
    </xf>
    <xf numFmtId="0" fontId="13" fillId="11" borderId="13" xfId="0" applyFont="1" applyFill="1" applyBorder="1" applyAlignment="1">
      <alignment horizontal="center" vertical="center"/>
    </xf>
    <xf numFmtId="0" fontId="13" fillId="11" borderId="58" xfId="0" applyFont="1" applyFill="1" applyBorder="1" applyAlignment="1">
      <alignment horizontal="center"/>
    </xf>
    <xf numFmtId="0" fontId="30" fillId="11" borderId="41" xfId="0" applyFont="1" applyFill="1" applyBorder="1" applyAlignment="1">
      <alignment horizontal="left" vertical="center"/>
    </xf>
    <xf numFmtId="0" fontId="30" fillId="11" borderId="58" xfId="0" applyFont="1" applyFill="1" applyBorder="1"/>
    <xf numFmtId="0" fontId="13" fillId="11" borderId="58" xfId="0" applyFont="1" applyFill="1" applyBorder="1" applyAlignment="1">
      <alignment horizontal="center" vertical="center"/>
    </xf>
    <xf numFmtId="188" fontId="30" fillId="11" borderId="41" xfId="0" applyNumberFormat="1" applyFont="1" applyFill="1" applyBorder="1" applyAlignment="1">
      <alignment horizontal="center" vertical="center"/>
    </xf>
    <xf numFmtId="3" fontId="15" fillId="11" borderId="5" xfId="0" applyNumberFormat="1" applyFont="1" applyFill="1" applyBorder="1" applyAlignment="1" applyProtection="1">
      <alignment horizontal="center" vertical="center"/>
      <protection hidden="1"/>
    </xf>
    <xf numFmtId="9" fontId="13" fillId="11" borderId="27" xfId="0" applyNumberFormat="1" applyFont="1" applyFill="1" applyBorder="1" applyAlignment="1">
      <alignment horizontal="center"/>
    </xf>
    <xf numFmtId="0" fontId="13" fillId="0" borderId="0" xfId="0" applyFont="1" applyAlignment="1" applyProtection="1">
      <alignment horizontal="left" vertical="center"/>
      <protection hidden="1"/>
    </xf>
    <xf numFmtId="177" fontId="31" fillId="0" borderId="5" xfId="0" applyNumberFormat="1" applyFont="1" applyBorder="1" applyAlignment="1" applyProtection="1">
      <alignment horizontal="left" vertical="center"/>
      <protection hidden="1"/>
    </xf>
    <xf numFmtId="10" fontId="30" fillId="0" borderId="41" xfId="0" applyNumberFormat="1" applyFont="1" applyBorder="1" applyAlignment="1" applyProtection="1">
      <alignment horizontal="center" vertical="center"/>
      <protection locked="0"/>
    </xf>
    <xf numFmtId="10" fontId="30" fillId="0" borderId="29" xfId="0" applyNumberFormat="1" applyFont="1" applyBorder="1" applyAlignment="1" applyProtection="1">
      <alignment horizontal="center" vertical="center"/>
      <protection locked="0"/>
    </xf>
    <xf numFmtId="188" fontId="30" fillId="0" borderId="41" xfId="0" applyNumberFormat="1" applyFont="1" applyBorder="1" applyAlignment="1" applyProtection="1">
      <alignment horizontal="center" vertical="center"/>
      <protection locked="0"/>
    </xf>
    <xf numFmtId="177" fontId="31" fillId="0" borderId="78" xfId="0" applyNumberFormat="1" applyFont="1" applyBorder="1" applyAlignment="1" applyProtection="1">
      <alignment vertical="center"/>
      <protection locked="0"/>
    </xf>
    <xf numFmtId="0" fontId="31" fillId="0" borderId="20" xfId="0" applyFont="1" applyBorder="1" applyAlignment="1" applyProtection="1">
      <alignment horizontal="center" vertical="center"/>
      <protection locked="0"/>
    </xf>
    <xf numFmtId="193" fontId="31" fillId="0" borderId="125" xfId="0" applyNumberFormat="1" applyFont="1" applyBorder="1" applyAlignment="1" applyProtection="1">
      <alignment vertical="center"/>
      <protection locked="0"/>
    </xf>
    <xf numFmtId="2" fontId="0" fillId="0" borderId="20" xfId="0" applyNumberFormat="1" applyBorder="1" applyAlignment="1" applyProtection="1">
      <alignment horizontal="center"/>
      <protection locked="0"/>
    </xf>
    <xf numFmtId="193" fontId="31" fillId="0" borderId="41" xfId="0" applyNumberFormat="1" applyFont="1" applyBorder="1" applyAlignment="1" applyProtection="1">
      <alignment vertical="center"/>
      <protection locked="0"/>
    </xf>
    <xf numFmtId="177" fontId="31" fillId="0" borderId="47" xfId="0" applyNumberFormat="1" applyFont="1" applyBorder="1" applyAlignment="1" applyProtection="1">
      <alignment vertical="center"/>
      <protection locked="0"/>
    </xf>
    <xf numFmtId="0" fontId="15" fillId="11" borderId="13" xfId="0" applyFont="1" applyFill="1" applyBorder="1" applyAlignment="1" applyProtection="1">
      <alignment horizontal="center" vertical="center"/>
      <protection hidden="1"/>
    </xf>
    <xf numFmtId="0" fontId="45" fillId="11" borderId="13" xfId="0" applyFont="1" applyFill="1" applyBorder="1" applyProtection="1">
      <protection hidden="1"/>
    </xf>
    <xf numFmtId="0" fontId="45" fillId="11" borderId="32" xfId="0" applyFont="1" applyFill="1" applyBorder="1" applyProtection="1">
      <protection hidden="1"/>
    </xf>
    <xf numFmtId="0" fontId="45" fillId="11" borderId="14" xfId="0" applyFont="1" applyFill="1" applyBorder="1" applyProtection="1">
      <protection hidden="1"/>
    </xf>
    <xf numFmtId="0" fontId="45" fillId="11" borderId="15" xfId="0" applyFont="1" applyFill="1" applyBorder="1" applyProtection="1">
      <protection hidden="1"/>
    </xf>
    <xf numFmtId="0" fontId="45" fillId="11" borderId="0" xfId="0" applyFont="1" applyFill="1" applyProtection="1">
      <protection hidden="1"/>
    </xf>
    <xf numFmtId="0" fontId="45" fillId="11" borderId="16" xfId="0" applyFont="1" applyFill="1" applyBorder="1" applyProtection="1">
      <protection hidden="1"/>
    </xf>
    <xf numFmtId="0" fontId="45" fillId="11" borderId="17" xfId="0" applyFont="1" applyFill="1" applyBorder="1" applyProtection="1">
      <protection hidden="1"/>
    </xf>
    <xf numFmtId="3" fontId="45" fillId="11" borderId="38" xfId="0" applyNumberFormat="1" applyFont="1" applyFill="1" applyBorder="1" applyProtection="1">
      <protection hidden="1"/>
    </xf>
    <xf numFmtId="0" fontId="45" fillId="11" borderId="38" xfId="0" applyFont="1" applyFill="1" applyBorder="1" applyProtection="1">
      <protection hidden="1"/>
    </xf>
    <xf numFmtId="0" fontId="45" fillId="11" borderId="18" xfId="0" applyFont="1" applyFill="1" applyBorder="1" applyProtection="1">
      <protection hidden="1"/>
    </xf>
    <xf numFmtId="0" fontId="15" fillId="11" borderId="58" xfId="0" applyFont="1" applyFill="1" applyBorder="1" applyAlignment="1" applyProtection="1">
      <alignment horizontal="center"/>
      <protection hidden="1"/>
    </xf>
    <xf numFmtId="0" fontId="15" fillId="11" borderId="77" xfId="0" applyFont="1" applyFill="1" applyBorder="1" applyAlignment="1" applyProtection="1">
      <alignment horizontal="center"/>
      <protection hidden="1"/>
    </xf>
    <xf numFmtId="0" fontId="45" fillId="11" borderId="41" xfId="0" applyFont="1" applyFill="1" applyBorder="1" applyAlignment="1" applyProtection="1">
      <alignment horizontal="left" vertical="center"/>
      <protection hidden="1"/>
    </xf>
    <xf numFmtId="3" fontId="45" fillId="11" borderId="41" xfId="0" applyNumberFormat="1" applyFont="1" applyFill="1" applyBorder="1" applyAlignment="1" applyProtection="1">
      <alignment horizontal="center" vertical="center"/>
      <protection hidden="1"/>
    </xf>
    <xf numFmtId="188" fontId="45" fillId="11" borderId="41" xfId="0" applyNumberFormat="1" applyFont="1" applyFill="1" applyBorder="1" applyAlignment="1" applyProtection="1">
      <alignment horizontal="center" vertical="center"/>
      <protection hidden="1"/>
    </xf>
    <xf numFmtId="188" fontId="45" fillId="0" borderId="41" xfId="0" applyNumberFormat="1" applyFont="1" applyBorder="1" applyAlignment="1" applyProtection="1">
      <alignment horizontal="center" vertical="center"/>
      <protection hidden="1"/>
    </xf>
    <xf numFmtId="0" fontId="45" fillId="11" borderId="28" xfId="0" applyFont="1" applyFill="1" applyBorder="1" applyAlignment="1" applyProtection="1">
      <alignment horizontal="left" vertical="center"/>
      <protection hidden="1"/>
    </xf>
    <xf numFmtId="0" fontId="45" fillId="11" borderId="75" xfId="0" applyFont="1" applyFill="1" applyBorder="1" applyAlignment="1" applyProtection="1">
      <alignment horizontal="left" vertical="center"/>
      <protection hidden="1"/>
    </xf>
    <xf numFmtId="0" fontId="45" fillId="11" borderId="66" xfId="0" applyFont="1" applyFill="1" applyBorder="1" applyAlignment="1" applyProtection="1">
      <alignment horizontal="left" vertical="center"/>
      <protection hidden="1"/>
    </xf>
    <xf numFmtId="0" fontId="45" fillId="0" borderId="33" xfId="0" applyFont="1" applyBorder="1" applyAlignment="1" applyProtection="1">
      <alignment horizontal="left" vertical="center"/>
      <protection hidden="1"/>
    </xf>
    <xf numFmtId="0" fontId="45" fillId="11" borderId="29" xfId="0" applyFont="1" applyFill="1" applyBorder="1" applyAlignment="1" applyProtection="1">
      <alignment horizontal="left" vertical="center"/>
      <protection hidden="1"/>
    </xf>
    <xf numFmtId="3" fontId="45" fillId="11" borderId="33" xfId="0" applyNumberFormat="1" applyFont="1" applyFill="1" applyBorder="1" applyAlignment="1" applyProtection="1">
      <alignment horizontal="center" vertical="center"/>
      <protection hidden="1"/>
    </xf>
    <xf numFmtId="10" fontId="45" fillId="11" borderId="77" xfId="0" applyNumberFormat="1" applyFont="1" applyFill="1" applyBorder="1" applyAlignment="1" applyProtection="1">
      <alignment horizontal="center" vertical="center"/>
      <protection hidden="1"/>
    </xf>
    <xf numFmtId="0" fontId="15" fillId="11" borderId="23" xfId="0" applyFont="1" applyFill="1" applyBorder="1" applyAlignment="1" applyProtection="1">
      <alignment horizontal="right"/>
      <protection hidden="1"/>
    </xf>
    <xf numFmtId="0" fontId="15" fillId="11" borderId="24" xfId="0" applyFont="1" applyFill="1" applyBorder="1" applyAlignment="1" applyProtection="1">
      <alignment horizontal="right"/>
      <protection hidden="1"/>
    </xf>
    <xf numFmtId="9" fontId="15" fillId="11" borderId="27" xfId="0" applyNumberFormat="1" applyFont="1" applyFill="1" applyBorder="1" applyAlignment="1" applyProtection="1">
      <alignment horizontal="center"/>
      <protection hidden="1"/>
    </xf>
    <xf numFmtId="3" fontId="15" fillId="11" borderId="27" xfId="0" applyNumberFormat="1" applyFont="1" applyFill="1" applyBorder="1" applyAlignment="1" applyProtection="1">
      <alignment horizontal="center" vertical="center"/>
      <protection hidden="1"/>
    </xf>
    <xf numFmtId="10" fontId="45" fillId="0" borderId="41" xfId="0" applyNumberFormat="1" applyFont="1" applyBorder="1" applyAlignment="1" applyProtection="1">
      <alignment horizontal="center" vertical="center"/>
      <protection hidden="1"/>
    </xf>
    <xf numFmtId="0" fontId="15" fillId="11" borderId="0" xfId="0" applyFont="1" applyFill="1" applyAlignment="1" applyProtection="1">
      <alignment horizontal="right"/>
      <protection hidden="1"/>
    </xf>
    <xf numFmtId="0" fontId="13" fillId="11" borderId="15" xfId="0" applyFont="1" applyFill="1" applyBorder="1"/>
    <xf numFmtId="0" fontId="13" fillId="11" borderId="15" xfId="0" applyFont="1" applyFill="1" applyBorder="1" applyAlignment="1">
      <alignment horizontal="right"/>
    </xf>
    <xf numFmtId="167" fontId="21" fillId="0" borderId="23" xfId="0" applyNumberFormat="1" applyFont="1" applyBorder="1" applyAlignment="1" applyProtection="1">
      <alignment horizontal="centerContinuous" vertical="center"/>
      <protection hidden="1"/>
    </xf>
    <xf numFmtId="10" fontId="21" fillId="0" borderId="23" xfId="0" applyNumberFormat="1" applyFont="1" applyBorder="1" applyAlignment="1" applyProtection="1">
      <alignment horizontal="centerContinuous" vertical="center"/>
      <protection hidden="1"/>
    </xf>
    <xf numFmtId="0" fontId="15" fillId="14" borderId="0" xfId="0" applyFont="1" applyFill="1" applyAlignment="1">
      <alignment horizontal="center"/>
    </xf>
    <xf numFmtId="0" fontId="13" fillId="11" borderId="13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0" fontId="30" fillId="11" borderId="44" xfId="0" applyNumberFormat="1" applyFont="1" applyFill="1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10" fontId="30" fillId="11" borderId="75" xfId="0" applyNumberFormat="1" applyFont="1" applyFill="1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3" fontId="30" fillId="11" borderId="75" xfId="0" applyNumberFormat="1" applyFont="1" applyFill="1" applyBorder="1" applyAlignment="1">
      <alignment horizontal="center" vertical="center"/>
    </xf>
    <xf numFmtId="3" fontId="30" fillId="11" borderId="66" xfId="0" applyNumberFormat="1" applyFont="1" applyFill="1" applyBorder="1" applyAlignment="1">
      <alignment horizontal="center" vertical="center"/>
    </xf>
    <xf numFmtId="0" fontId="15" fillId="11" borderId="13" xfId="0" applyFont="1" applyFill="1" applyBorder="1" applyAlignment="1" applyProtection="1">
      <alignment horizontal="center"/>
      <protection hidden="1"/>
    </xf>
    <xf numFmtId="0" fontId="1" fillId="0" borderId="14" xfId="0" applyFont="1" applyBorder="1" applyAlignment="1" applyProtection="1">
      <alignment horizontal="center"/>
      <protection hidden="1"/>
    </xf>
    <xf numFmtId="10" fontId="45" fillId="11" borderId="13" xfId="0" applyNumberFormat="1" applyFont="1" applyFill="1" applyBorder="1" applyAlignment="1" applyProtection="1">
      <alignment horizontal="left" vertical="center"/>
      <protection hidden="1"/>
    </xf>
    <xf numFmtId="0" fontId="46" fillId="0" borderId="32" xfId="0" applyFont="1" applyBorder="1" applyAlignment="1" applyProtection="1">
      <alignment horizontal="left" vertical="center"/>
      <protection hidden="1"/>
    </xf>
    <xf numFmtId="0" fontId="46" fillId="0" borderId="14" xfId="0" applyFont="1" applyBorder="1" applyAlignment="1" applyProtection="1">
      <alignment vertical="center"/>
      <protection hidden="1"/>
    </xf>
    <xf numFmtId="1" fontId="45" fillId="11" borderId="23" xfId="0" applyNumberFormat="1" applyFont="1" applyFill="1" applyBorder="1" applyAlignment="1" applyProtection="1">
      <alignment horizontal="left" vertical="center"/>
      <protection hidden="1"/>
    </xf>
    <xf numFmtId="0" fontId="46" fillId="0" borderId="26" xfId="0" applyFont="1" applyBorder="1" applyAlignment="1" applyProtection="1">
      <alignment horizontal="left" vertical="center"/>
      <protection hidden="1"/>
    </xf>
    <xf numFmtId="0" fontId="46" fillId="0" borderId="24" xfId="0" applyFont="1" applyBorder="1" applyAlignment="1" applyProtection="1">
      <alignment vertical="center"/>
      <protection hidden="1"/>
    </xf>
    <xf numFmtId="10" fontId="45" fillId="11" borderId="23" xfId="0" applyNumberFormat="1" applyFont="1" applyFill="1" applyBorder="1" applyAlignment="1" applyProtection="1">
      <alignment horizontal="left" vertical="center"/>
      <protection hidden="1"/>
    </xf>
    <xf numFmtId="10" fontId="45" fillId="6" borderId="23" xfId="0" applyNumberFormat="1" applyFont="1" applyFill="1" applyBorder="1" applyAlignment="1" applyProtection="1">
      <alignment horizontal="right" vertical="center"/>
      <protection hidden="1"/>
    </xf>
    <xf numFmtId="0" fontId="46" fillId="0" borderId="26" xfId="0" applyFont="1" applyBorder="1" applyAlignment="1" applyProtection="1">
      <alignment horizontal="right" vertical="center"/>
      <protection hidden="1"/>
    </xf>
    <xf numFmtId="3" fontId="30" fillId="11" borderId="72" xfId="0" applyNumberFormat="1" applyFont="1" applyFill="1" applyBorder="1" applyAlignment="1">
      <alignment horizontal="center" vertical="center"/>
    </xf>
    <xf numFmtId="3" fontId="30" fillId="11" borderId="68" xfId="0" applyNumberFormat="1" applyFont="1" applyFill="1" applyBorder="1" applyAlignment="1">
      <alignment horizontal="center" vertical="center"/>
    </xf>
    <xf numFmtId="3" fontId="13" fillId="11" borderId="23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6" xfId="0" applyBorder="1" applyAlignment="1">
      <alignment horizontal="center" vertical="center"/>
    </xf>
    <xf numFmtId="1" fontId="30" fillId="11" borderId="72" xfId="0" applyNumberFormat="1" applyFont="1" applyFill="1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31" fillId="0" borderId="1" xfId="0" applyFont="1" applyBorder="1" applyAlignment="1" applyProtection="1">
      <alignment horizontal="center" vertical="center"/>
      <protection hidden="1"/>
    </xf>
    <xf numFmtId="0" fontId="31" fillId="0" borderId="2" xfId="0" applyFont="1" applyBorder="1" applyAlignment="1" applyProtection="1">
      <alignment horizontal="center" vertical="center"/>
      <protection hidden="1"/>
    </xf>
    <xf numFmtId="0" fontId="27" fillId="15" borderId="26" xfId="0" applyFont="1" applyFill="1" applyBorder="1" applyAlignment="1" applyProtection="1">
      <alignment horizontal="center" vertical="center"/>
      <protection hidden="1"/>
    </xf>
    <xf numFmtId="0" fontId="33" fillId="16" borderId="0" xfId="0" applyFont="1" applyFill="1" applyAlignment="1">
      <alignment horizontal="center" vertical="center"/>
    </xf>
    <xf numFmtId="0" fontId="1" fillId="7" borderId="26" xfId="0" applyFont="1" applyFill="1" applyBorder="1" applyAlignment="1" applyProtection="1">
      <alignment horizontal="left" vertical="center"/>
      <protection hidden="1"/>
    </xf>
    <xf numFmtId="0" fontId="1" fillId="7" borderId="24" xfId="0" applyFont="1" applyFill="1" applyBorder="1" applyAlignment="1" applyProtection="1">
      <alignment horizontal="left" vertical="center"/>
      <protection hidden="1"/>
    </xf>
    <xf numFmtId="0" fontId="32" fillId="7" borderId="23" xfId="0" applyFont="1" applyFill="1" applyBorder="1" applyAlignment="1" applyProtection="1">
      <alignment horizontal="left" vertical="center"/>
      <protection hidden="1"/>
    </xf>
    <xf numFmtId="0" fontId="32" fillId="7" borderId="26" xfId="0" applyFont="1" applyFill="1" applyBorder="1" applyAlignment="1" applyProtection="1">
      <alignment horizontal="left" vertical="center"/>
      <protection hidden="1"/>
    </xf>
    <xf numFmtId="0" fontId="0" fillId="0" borderId="7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1" fontId="45" fillId="6" borderId="23" xfId="0" applyNumberFormat="1" applyFont="1" applyFill="1" applyBorder="1" applyAlignment="1" applyProtection="1">
      <alignment horizontal="right" vertical="center"/>
      <protection hidden="1"/>
    </xf>
    <xf numFmtId="0" fontId="13" fillId="11" borderId="53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54" xfId="0" applyBorder="1" applyAlignment="1">
      <alignment vertical="center"/>
    </xf>
    <xf numFmtId="1" fontId="30" fillId="6" borderId="13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10" fontId="30" fillId="6" borderId="17" xfId="0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15" fillId="11" borderId="44" xfId="0" applyFont="1" applyFill="1" applyBorder="1" applyAlignment="1" applyProtection="1">
      <alignment horizontal="center"/>
      <protection hidden="1"/>
    </xf>
    <xf numFmtId="0" fontId="0" fillId="0" borderId="46" xfId="0" applyBorder="1" applyProtection="1">
      <protection hidden="1"/>
    </xf>
    <xf numFmtId="3" fontId="45" fillId="11" borderId="75" xfId="0" applyNumberFormat="1" applyFont="1" applyFill="1" applyBorder="1" applyAlignment="1" applyProtection="1">
      <alignment horizontal="center" vertical="center"/>
      <protection hidden="1"/>
    </xf>
    <xf numFmtId="3" fontId="45" fillId="11" borderId="72" xfId="0" applyNumberFormat="1" applyFont="1" applyFill="1" applyBorder="1" applyAlignment="1" applyProtection="1">
      <alignment horizontal="center" vertical="center"/>
      <protection hidden="1"/>
    </xf>
    <xf numFmtId="199" fontId="45" fillId="11" borderId="44" xfId="0" applyNumberFormat="1" applyFont="1" applyFill="1" applyBorder="1" applyAlignment="1" applyProtection="1">
      <alignment horizontal="center" vertical="center"/>
      <protection hidden="1"/>
    </xf>
    <xf numFmtId="0" fontId="0" fillId="0" borderId="46" xfId="0" applyBorder="1" applyAlignment="1">
      <alignment horizontal="center" vertical="center"/>
    </xf>
    <xf numFmtId="3" fontId="45" fillId="11" borderId="44" xfId="0" applyNumberFormat="1" applyFont="1" applyFill="1" applyBorder="1" applyAlignment="1" applyProtection="1">
      <alignment horizontal="center" vertical="center"/>
      <protection hidden="1"/>
    </xf>
    <xf numFmtId="0" fontId="15" fillId="11" borderId="13" xfId="0" applyFont="1" applyFill="1" applyBorder="1" applyAlignment="1" applyProtection="1">
      <alignment horizontal="center" vertical="center"/>
      <protection hidden="1"/>
    </xf>
    <xf numFmtId="199" fontId="45" fillId="11" borderId="72" xfId="0" applyNumberFormat="1" applyFont="1" applyFill="1" applyBorder="1" applyAlignment="1" applyProtection="1">
      <alignment horizontal="center" vertical="center"/>
      <protection hidden="1"/>
    </xf>
    <xf numFmtId="199" fontId="45" fillId="11" borderId="75" xfId="0" applyNumberFormat="1" applyFont="1" applyFill="1" applyBorder="1" applyAlignment="1" applyProtection="1">
      <alignment horizontal="center" vertical="center"/>
      <protection hidden="1"/>
    </xf>
    <xf numFmtId="0" fontId="15" fillId="11" borderId="17" xfId="0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13" fillId="11" borderId="44" xfId="0" applyFont="1" applyFill="1" applyBorder="1" applyAlignment="1">
      <alignment horizontal="center"/>
    </xf>
    <xf numFmtId="0" fontId="13" fillId="11" borderId="46" xfId="0" applyFont="1" applyFill="1" applyBorder="1" applyAlignment="1">
      <alignment horizontal="center"/>
    </xf>
    <xf numFmtId="0" fontId="13" fillId="11" borderId="52" xfId="0" applyFont="1" applyFill="1" applyBorder="1" applyAlignment="1">
      <alignment horizontal="center"/>
    </xf>
    <xf numFmtId="0" fontId="0" fillId="0" borderId="46" xfId="0" applyBorder="1"/>
    <xf numFmtId="0" fontId="13" fillId="11" borderId="72" xfId="0" applyFont="1" applyFill="1" applyBorder="1" applyAlignment="1">
      <alignment horizontal="center"/>
    </xf>
    <xf numFmtId="0" fontId="0" fillId="0" borderId="68" xfId="0" applyBorder="1" applyAlignment="1">
      <alignment horizontal="center"/>
    </xf>
    <xf numFmtId="3" fontId="30" fillId="11" borderId="13" xfId="0" applyNumberFormat="1" applyFont="1" applyFill="1" applyBorder="1" applyAlignment="1">
      <alignment horizontal="center" vertical="center"/>
    </xf>
    <xf numFmtId="3" fontId="30" fillId="11" borderId="1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3">
    <cellStyle name="EXMI" xfId="1" xr:uid="{00000000-0005-0000-0000-000000000000}"/>
    <cellStyle name="Normal" xfId="0" builtinId="0"/>
    <cellStyle name="Pourcentage" xfId="2" builtinId="5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338324088611078E-2"/>
          <c:y val="8.5106493499747415E-2"/>
          <c:w val="0.91207186687599939"/>
          <c:h val="0.72606477266972014"/>
        </c:manualLayout>
      </c:layout>
      <c:areaChart>
        <c:grouping val="standard"/>
        <c:varyColors val="0"/>
        <c:ser>
          <c:idx val="8"/>
          <c:order val="0"/>
          <c:tx>
            <c:strRef>
              <c:f>CALCU!$BL$180</c:f>
              <c:strCache>
                <c:ptCount val="1"/>
                <c:pt idx="0">
                  <c:v>STOCKS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cat>
            <c:numRef>
              <c:f>CALCU!$BN$175:$DU$175</c:f>
              <c:numCache>
                <c:formatCode>mmm\-yy</c:formatCode>
                <c:ptCount val="60"/>
                <c:pt idx="0">
                  <c:v>0</c:v>
                </c:pt>
              </c:numCache>
            </c:numRef>
          </c:cat>
          <c:val>
            <c:numRef>
              <c:f>CALCU!$BN$180:$DU$180</c:f>
              <c:numCache>
                <c:formatCode>General</c:formatCode>
                <c:ptCount val="6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B3-42E8-980D-BE0F4A633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9143608"/>
        <c:axId val="1"/>
      </c:areaChart>
      <c:lineChart>
        <c:grouping val="standard"/>
        <c:varyColors val="0"/>
        <c:ser>
          <c:idx val="0"/>
          <c:order val="1"/>
          <c:tx>
            <c:strRef>
              <c:f>CALCU!$BL$178</c:f>
              <c:strCache>
                <c:ptCount val="1"/>
                <c:pt idx="0">
                  <c:v>RESERVATIONS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0C0C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CALCU!$BN$175:$DU$175</c:f>
              <c:numCache>
                <c:formatCode>mmm\-yy</c:formatCode>
                <c:ptCount val="60"/>
                <c:pt idx="0">
                  <c:v>0</c:v>
                </c:pt>
              </c:numCache>
            </c:numRef>
          </c:cat>
          <c:val>
            <c:numRef>
              <c:f>CALCU!$BN$178:$DU$178</c:f>
              <c:numCache>
                <c:formatCode>General</c:formatCode>
                <c:ptCount val="60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3-42E8-980D-BE0F4A633EFD}"/>
            </c:ext>
          </c:extLst>
        </c:ser>
        <c:ser>
          <c:idx val="1"/>
          <c:order val="2"/>
          <c:tx>
            <c:strRef>
              <c:f>CALCU!$BL$179</c:f>
              <c:strCache>
                <c:ptCount val="1"/>
                <c:pt idx="0">
                  <c:v>SIGNATURES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CALCU!$BN$175:$DU$175</c:f>
              <c:numCache>
                <c:formatCode>mmm\-yy</c:formatCode>
                <c:ptCount val="60"/>
                <c:pt idx="0">
                  <c:v>0</c:v>
                </c:pt>
              </c:numCache>
            </c:numRef>
          </c:cat>
          <c:val>
            <c:numRef>
              <c:f>CALCU!$BN$179:$DU$179</c:f>
              <c:numCache>
                <c:formatCode>General</c:formatCode>
                <c:ptCount val="60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B3-42E8-980D-BE0F4A633EFD}"/>
            </c:ext>
          </c:extLst>
        </c:ser>
        <c:ser>
          <c:idx val="2"/>
          <c:order val="3"/>
          <c:tx>
            <c:strRef>
              <c:f>CALCU!$BL$181</c:f>
              <c:strCache>
                <c:ptCount val="1"/>
                <c:pt idx="0">
                  <c:v>T1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CALCU!$BN$175:$DU$175</c:f>
              <c:numCache>
                <c:formatCode>mmm\-yy</c:formatCode>
                <c:ptCount val="60"/>
                <c:pt idx="0">
                  <c:v>0</c:v>
                </c:pt>
              </c:numCache>
            </c:numRef>
          </c:cat>
          <c:val>
            <c:numRef>
              <c:f>CALCU!$BN$181:$DU$181</c:f>
              <c:numCache>
                <c:formatCode>General</c:formatCode>
                <c:ptCount val="60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B3-42E8-980D-BE0F4A633EFD}"/>
            </c:ext>
          </c:extLst>
        </c:ser>
        <c:ser>
          <c:idx val="3"/>
          <c:order val="4"/>
          <c:tx>
            <c:strRef>
              <c:f>CALCU!$BL$182</c:f>
              <c:strCache>
                <c:ptCount val="1"/>
                <c:pt idx="0">
                  <c:v>T2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CALCU!$BN$182:$DU$182</c:f>
              <c:numCache>
                <c:formatCode>General</c:formatCode>
                <c:ptCount val="60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B3-42E8-980D-BE0F4A633EFD}"/>
            </c:ext>
          </c:extLst>
        </c:ser>
        <c:ser>
          <c:idx val="4"/>
          <c:order val="5"/>
          <c:tx>
            <c:strRef>
              <c:f>CALCU!$BL$183</c:f>
              <c:strCache>
                <c:ptCount val="1"/>
                <c:pt idx="0">
                  <c:v>T3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CALCU!$BN$175:$DU$175</c:f>
              <c:numCache>
                <c:formatCode>mmm\-yy</c:formatCode>
                <c:ptCount val="60"/>
                <c:pt idx="0">
                  <c:v>0</c:v>
                </c:pt>
              </c:numCache>
            </c:numRef>
          </c:cat>
          <c:val>
            <c:numRef>
              <c:f>CALCU!$BN$183:$DU$183</c:f>
              <c:numCache>
                <c:formatCode>General</c:formatCode>
                <c:ptCount val="60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B3-42E8-980D-BE0F4A633EFD}"/>
            </c:ext>
          </c:extLst>
        </c:ser>
        <c:ser>
          <c:idx val="5"/>
          <c:order val="6"/>
          <c:tx>
            <c:strRef>
              <c:f>CALCU!$BL$184</c:f>
              <c:strCache>
                <c:ptCount val="1"/>
                <c:pt idx="0">
                  <c:v>T4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CALCU!$BN$175:$DU$175</c:f>
              <c:numCache>
                <c:formatCode>mmm\-yy</c:formatCode>
                <c:ptCount val="60"/>
                <c:pt idx="0">
                  <c:v>0</c:v>
                </c:pt>
              </c:numCache>
            </c:numRef>
          </c:cat>
          <c:val>
            <c:numRef>
              <c:f>CALCU!$BN$184:$DU$184</c:f>
              <c:numCache>
                <c:formatCode>General</c:formatCode>
                <c:ptCount val="60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B3-42E8-980D-BE0F4A633EFD}"/>
            </c:ext>
          </c:extLst>
        </c:ser>
        <c:ser>
          <c:idx val="6"/>
          <c:order val="7"/>
          <c:tx>
            <c:strRef>
              <c:f>CALCU!$BL$185</c:f>
              <c:strCache>
                <c:ptCount val="1"/>
                <c:pt idx="0">
                  <c:v>T5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CALCU!$BN$175:$DU$175</c:f>
              <c:numCache>
                <c:formatCode>mmm\-yy</c:formatCode>
                <c:ptCount val="60"/>
                <c:pt idx="0">
                  <c:v>0</c:v>
                </c:pt>
              </c:numCache>
            </c:numRef>
          </c:cat>
          <c:val>
            <c:numRef>
              <c:f>CALCU!$BN$185:$DU$185</c:f>
              <c:numCache>
                <c:formatCode>General</c:formatCode>
                <c:ptCount val="60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9B3-42E8-980D-BE0F4A633EFD}"/>
            </c:ext>
          </c:extLst>
        </c:ser>
        <c:ser>
          <c:idx val="7"/>
          <c:order val="8"/>
          <c:tx>
            <c:strRef>
              <c:f>CALCU!$BL$186</c:f>
              <c:strCache>
                <c:ptCount val="1"/>
                <c:pt idx="0">
                  <c:v>T6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CALCU!$BN$175:$DU$175</c:f>
              <c:numCache>
                <c:formatCode>mmm\-yy</c:formatCode>
                <c:ptCount val="60"/>
                <c:pt idx="0">
                  <c:v>0</c:v>
                </c:pt>
              </c:numCache>
            </c:numRef>
          </c:cat>
          <c:val>
            <c:numRef>
              <c:f>CALCU!$BN$186:$DU$186</c:f>
              <c:numCache>
                <c:formatCode>General</c:formatCode>
                <c:ptCount val="60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9B3-42E8-980D-BE0F4A633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79143608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fr-FR"/>
                  <a:t>PROGRAMMATION</a:t>
                </a:r>
              </a:p>
            </c:rich>
          </c:tx>
          <c:layout>
            <c:manualLayout>
              <c:xMode val="edge"/>
              <c:yMode val="edge"/>
              <c:x val="2.906106878340612E-2"/>
              <c:y val="0.146276854282103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579143608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>
      <c:oddHeader>&amp;C &amp;F&amp;RLe &amp;D à &amp;T</c:oddHeader>
      <c:oddFooter>Page &amp;P</c:oddFooter>
    </c:headerFooter>
    <c:pageMargins b="0.98425196850393704" l="0.78740157480314965" r="0.78740157480314965" t="0.98425196850393704" header="0.4921259845" footer="0.492125984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877004740081984E-2"/>
          <c:y val="7.7464966313101333E-2"/>
          <c:w val="0.91051520445563339"/>
          <c:h val="0.67840531104503887"/>
        </c:manualLayout>
      </c:layout>
      <c:areaChart>
        <c:grouping val="standard"/>
        <c:varyColors val="0"/>
        <c:ser>
          <c:idx val="1"/>
          <c:order val="0"/>
          <c:tx>
            <c:strRef>
              <c:f>CALCU!$BL$176</c:f>
              <c:strCache>
                <c:ptCount val="1"/>
                <c:pt idx="0">
                  <c:v>FONDS PROPRES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cat>
            <c:numRef>
              <c:f>CALCU!$BN$175:$DU$175</c:f>
              <c:numCache>
                <c:formatCode>mmm\-yy</c:formatCode>
                <c:ptCount val="60"/>
                <c:pt idx="0">
                  <c:v>0</c:v>
                </c:pt>
              </c:numCache>
            </c:numRef>
          </c:cat>
          <c:val>
            <c:numRef>
              <c:f>CALCU!$BN$176:$DU$176</c:f>
              <c:numCache>
                <c:formatCode>General</c:formatCode>
                <c:ptCount val="6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60-45CA-B877-EE0C427F8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594712"/>
        <c:axId val="1"/>
      </c:areaChart>
      <c:lineChart>
        <c:grouping val="standard"/>
        <c:varyColors val="0"/>
        <c:ser>
          <c:idx val="0"/>
          <c:order val="1"/>
          <c:tx>
            <c:strRef>
              <c:f>CALCU!$BL$177</c:f>
              <c:strCache>
                <c:ptCount val="1"/>
                <c:pt idx="0">
                  <c:v>TRESORERIE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CALCU!$BN$175:$DU$175</c:f>
              <c:numCache>
                <c:formatCode>mmm\-yy</c:formatCode>
                <c:ptCount val="60"/>
                <c:pt idx="0">
                  <c:v>0</c:v>
                </c:pt>
              </c:numCache>
            </c:numRef>
          </c:cat>
          <c:val>
            <c:numRef>
              <c:f>CALCU!$BN$177:$DU$177</c:f>
              <c:numCache>
                <c:formatCode>General</c:formatCode>
                <c:ptCount val="60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0-45CA-B877-EE0C427F8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0594712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fr-FR"/>
                  <a:t>TRESORERIE</a:t>
                </a:r>
              </a:p>
            </c:rich>
          </c:tx>
          <c:layout>
            <c:manualLayout>
              <c:xMode val="edge"/>
              <c:yMode val="edge"/>
              <c:x val="3.0574162170700886E-2"/>
              <c:y val="0.208920788258999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5805947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004499036180902"/>
          <c:y val="0.92488474931399767"/>
          <c:w val="0.22371380944855856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fr-FR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>
      <c:oddHeader>&amp;C &amp;F&amp;RLe &amp;D à &amp;T</c:oddHeader>
      <c:oddFooter>Page &amp;P</c:oddFooter>
    </c:headerFooter>
    <c:pageMargins b="0.98425196850393704" l="0.78740157480314965" r="0.78740157480314965" t="0.98425196850393704" header="0.4921259845" footer="0.4921259845"/>
    <c:pageSetup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34187286035434E-2"/>
          <c:y val="6.8965517241379309E-2"/>
          <c:w val="0.93512372349497486"/>
          <c:h val="0.76127320954907163"/>
        </c:manualLayout>
      </c:layout>
      <c:areaChart>
        <c:grouping val="standard"/>
        <c:varyColors val="0"/>
        <c:ser>
          <c:idx val="8"/>
          <c:order val="0"/>
          <c:tx>
            <c:strRef>
              <c:f>CALCU!$BL$180</c:f>
              <c:strCache>
                <c:ptCount val="1"/>
                <c:pt idx="0">
                  <c:v>STOCKS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cat>
            <c:numRef>
              <c:f>CALCU!$BN$175:$GC$175</c:f>
              <c:numCache>
                <c:formatCode>mmm\-yy</c:formatCode>
                <c:ptCount val="120"/>
                <c:pt idx="0">
                  <c:v>0</c:v>
                </c:pt>
              </c:numCache>
            </c:numRef>
          </c:cat>
          <c:val>
            <c:numRef>
              <c:f>CALCU!$BN$180:$GC$180</c:f>
              <c:numCache>
                <c:formatCode>General</c:formatCode>
                <c:ptCount val="12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7-4BAC-A2E9-6D2D2A20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642112"/>
        <c:axId val="1"/>
      </c:areaChart>
      <c:lineChart>
        <c:grouping val="standard"/>
        <c:varyColors val="0"/>
        <c:ser>
          <c:idx val="0"/>
          <c:order val="1"/>
          <c:tx>
            <c:strRef>
              <c:f>CALCU!$BL$178</c:f>
              <c:strCache>
                <c:ptCount val="1"/>
                <c:pt idx="0">
                  <c:v>RESERVATIONS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0C0C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CALCU!$BN$175:$GC$175</c:f>
              <c:numCache>
                <c:formatCode>mmm\-yy</c:formatCode>
                <c:ptCount val="120"/>
                <c:pt idx="0">
                  <c:v>0</c:v>
                </c:pt>
              </c:numCache>
            </c:numRef>
          </c:cat>
          <c:val>
            <c:numRef>
              <c:f>CALCU!$BN$178:$GC$178</c:f>
              <c:numCache>
                <c:formatCode>General</c:formatCode>
                <c:ptCount val="120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7-4BAC-A2E9-6D2D2A20431D}"/>
            </c:ext>
          </c:extLst>
        </c:ser>
        <c:ser>
          <c:idx val="1"/>
          <c:order val="2"/>
          <c:tx>
            <c:strRef>
              <c:f>CALCU!$BL$179</c:f>
              <c:strCache>
                <c:ptCount val="1"/>
                <c:pt idx="0">
                  <c:v>SIGNATURES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CALCU!$BN$175:$GC$175</c:f>
              <c:numCache>
                <c:formatCode>mmm\-yy</c:formatCode>
                <c:ptCount val="120"/>
                <c:pt idx="0">
                  <c:v>0</c:v>
                </c:pt>
              </c:numCache>
            </c:numRef>
          </c:cat>
          <c:val>
            <c:numRef>
              <c:f>CALCU!$BN$179:$GC$179</c:f>
              <c:numCache>
                <c:formatCode>General</c:formatCode>
                <c:ptCount val="120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87-4BAC-A2E9-6D2D2A20431D}"/>
            </c:ext>
          </c:extLst>
        </c:ser>
        <c:ser>
          <c:idx val="2"/>
          <c:order val="3"/>
          <c:tx>
            <c:strRef>
              <c:f>CALCU!$BL$181</c:f>
              <c:strCache>
                <c:ptCount val="1"/>
                <c:pt idx="0">
                  <c:v>T1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CALCU!$BN$175:$GC$175</c:f>
              <c:numCache>
                <c:formatCode>mmm\-yy</c:formatCode>
                <c:ptCount val="120"/>
                <c:pt idx="0">
                  <c:v>0</c:v>
                </c:pt>
              </c:numCache>
            </c:numRef>
          </c:cat>
          <c:val>
            <c:numRef>
              <c:f>CALCU!$BN$181:$GC$181</c:f>
              <c:numCache>
                <c:formatCode>General</c:formatCode>
                <c:ptCount val="120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87-4BAC-A2E9-6D2D2A20431D}"/>
            </c:ext>
          </c:extLst>
        </c:ser>
        <c:ser>
          <c:idx val="3"/>
          <c:order val="4"/>
          <c:tx>
            <c:strRef>
              <c:f>CALCU!$BL$182</c:f>
              <c:strCache>
                <c:ptCount val="1"/>
                <c:pt idx="0">
                  <c:v>T2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CALCU!$BN$182:$GC$182</c:f>
              <c:numCache>
                <c:formatCode>General</c:formatCode>
                <c:ptCount val="120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87-4BAC-A2E9-6D2D2A20431D}"/>
            </c:ext>
          </c:extLst>
        </c:ser>
        <c:ser>
          <c:idx val="4"/>
          <c:order val="5"/>
          <c:tx>
            <c:strRef>
              <c:f>CALCU!$BL$183</c:f>
              <c:strCache>
                <c:ptCount val="1"/>
                <c:pt idx="0">
                  <c:v>T3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CALCU!$BN$175:$GC$175</c:f>
              <c:numCache>
                <c:formatCode>mmm\-yy</c:formatCode>
                <c:ptCount val="120"/>
                <c:pt idx="0">
                  <c:v>0</c:v>
                </c:pt>
              </c:numCache>
            </c:numRef>
          </c:cat>
          <c:val>
            <c:numRef>
              <c:f>CALCU!$BN$183:$GC$183</c:f>
              <c:numCache>
                <c:formatCode>General</c:formatCode>
                <c:ptCount val="120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87-4BAC-A2E9-6D2D2A20431D}"/>
            </c:ext>
          </c:extLst>
        </c:ser>
        <c:ser>
          <c:idx val="5"/>
          <c:order val="6"/>
          <c:tx>
            <c:strRef>
              <c:f>CALCU!$BL$184</c:f>
              <c:strCache>
                <c:ptCount val="1"/>
                <c:pt idx="0">
                  <c:v>T4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CALCU!$BN$175:$GC$175</c:f>
              <c:numCache>
                <c:formatCode>mmm\-yy</c:formatCode>
                <c:ptCount val="120"/>
                <c:pt idx="0">
                  <c:v>0</c:v>
                </c:pt>
              </c:numCache>
            </c:numRef>
          </c:cat>
          <c:val>
            <c:numRef>
              <c:f>CALCU!$BN$184:$GC$184</c:f>
              <c:numCache>
                <c:formatCode>General</c:formatCode>
                <c:ptCount val="120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487-4BAC-A2E9-6D2D2A20431D}"/>
            </c:ext>
          </c:extLst>
        </c:ser>
        <c:ser>
          <c:idx val="6"/>
          <c:order val="7"/>
          <c:tx>
            <c:strRef>
              <c:f>CALCU!$BL$185</c:f>
              <c:strCache>
                <c:ptCount val="1"/>
                <c:pt idx="0">
                  <c:v>T5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CALCU!$BN$175:$GC$175</c:f>
              <c:numCache>
                <c:formatCode>mmm\-yy</c:formatCode>
                <c:ptCount val="120"/>
                <c:pt idx="0">
                  <c:v>0</c:v>
                </c:pt>
              </c:numCache>
            </c:numRef>
          </c:cat>
          <c:val>
            <c:numRef>
              <c:f>CALCU!$BN$185:$GC$185</c:f>
              <c:numCache>
                <c:formatCode>General</c:formatCode>
                <c:ptCount val="120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487-4BAC-A2E9-6D2D2A20431D}"/>
            </c:ext>
          </c:extLst>
        </c:ser>
        <c:ser>
          <c:idx val="7"/>
          <c:order val="8"/>
          <c:tx>
            <c:strRef>
              <c:f>CALCU!$BL$186</c:f>
              <c:strCache>
                <c:ptCount val="1"/>
                <c:pt idx="0">
                  <c:v>T6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CALCU!$BN$175:$GC$175</c:f>
              <c:numCache>
                <c:formatCode>mmm\-yy</c:formatCode>
                <c:ptCount val="120"/>
                <c:pt idx="0">
                  <c:v>0</c:v>
                </c:pt>
              </c:numCache>
            </c:numRef>
          </c:cat>
          <c:val>
            <c:numRef>
              <c:f>CALCU!$BN$186:$GC$186</c:f>
              <c:numCache>
                <c:formatCode>General</c:formatCode>
                <c:ptCount val="120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487-4BAC-A2E9-6D2D2A20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0642112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1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fr-FR"/>
                  <a:t>PROGRAMMATION</a:t>
                </a:r>
              </a:p>
            </c:rich>
          </c:tx>
          <c:layout>
            <c:manualLayout>
              <c:xMode val="edge"/>
              <c:yMode val="edge"/>
              <c:x val="1.1931397030232332E-2"/>
              <c:y val="0.148541101931930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5806421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>
      <c:oddHeader>&amp;C &amp;F&amp;RLe &amp;D à &amp;T</c:oddHeader>
      <c:oddFooter>Page &amp;P</c:oddFooter>
    </c:headerFooter>
    <c:pageMargins b="0.98425196850393704" l="0.78740157480314965" r="0.78740157480314965" t="0.98425196850393704" header="0.4921259845" footer="0.492125984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03228236742468E-2"/>
          <c:y val="6.1033003761837408E-2"/>
          <c:w val="0.93502647987744469"/>
          <c:h val="0.72535377547722146"/>
        </c:manualLayout>
      </c:layout>
      <c:areaChart>
        <c:grouping val="standard"/>
        <c:varyColors val="0"/>
        <c:ser>
          <c:idx val="1"/>
          <c:order val="0"/>
          <c:tx>
            <c:strRef>
              <c:f>CALCU!$BL$176</c:f>
              <c:strCache>
                <c:ptCount val="1"/>
                <c:pt idx="0">
                  <c:v>FONDS PROPRES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cat>
            <c:numRef>
              <c:f>CALCU!$BN$175:$GC$175</c:f>
              <c:numCache>
                <c:formatCode>mmm\-yy</c:formatCode>
                <c:ptCount val="120"/>
                <c:pt idx="0">
                  <c:v>0</c:v>
                </c:pt>
              </c:numCache>
            </c:numRef>
          </c:cat>
          <c:val>
            <c:numRef>
              <c:f>CALCU!$BN$176:$GC$176</c:f>
              <c:numCache>
                <c:formatCode>General</c:formatCode>
                <c:ptCount val="12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2-4B1F-AB53-B5531C59C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692528"/>
        <c:axId val="1"/>
      </c:areaChart>
      <c:lineChart>
        <c:grouping val="standard"/>
        <c:varyColors val="0"/>
        <c:ser>
          <c:idx val="0"/>
          <c:order val="1"/>
          <c:tx>
            <c:strRef>
              <c:f>CALCU!$BL$177</c:f>
              <c:strCache>
                <c:ptCount val="1"/>
                <c:pt idx="0">
                  <c:v>TRESORERIE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CALCU!$BN$175:$GC$175</c:f>
              <c:numCache>
                <c:formatCode>mmm\-yy</c:formatCode>
                <c:ptCount val="120"/>
                <c:pt idx="0">
                  <c:v>0</c:v>
                </c:pt>
              </c:numCache>
            </c:numRef>
          </c:cat>
          <c:val>
            <c:numRef>
              <c:f>CALCU!$BN$177:$GC$177</c:f>
              <c:numCache>
                <c:formatCode>General</c:formatCode>
                <c:ptCount val="120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2-4B1F-AB53-B5531C59C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80692528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1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fr-FR"/>
                  <a:t>TRESORERIE</a:t>
                </a:r>
              </a:p>
            </c:rich>
          </c:tx>
          <c:layout>
            <c:manualLayout>
              <c:xMode val="edge"/>
              <c:yMode val="edge"/>
              <c:x val="1.1949184281199187E-2"/>
              <c:y val="0.215962863988643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fr-FR"/>
          </a:p>
        </c:txPr>
        <c:crossAx val="580692528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361479955846816"/>
          <c:y val="0.92957959575721594"/>
          <c:w val="0.18222560789943809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fr-FR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>
      <c:oddHeader>&amp;C &amp;F&amp;RLe &amp;D à &amp;T</c:oddHeader>
      <c:oddFooter>Page &amp;P</c:oddFooter>
    </c:headerFooter>
    <c:pageMargins b="0.98425196850393704" l="0.78740157480314965" r="0.78740157480314965" t="0.98425196850393704" header="0.4921259845" footer="0.492125984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237</xdr:row>
      <xdr:rowOff>114300</xdr:rowOff>
    </xdr:from>
    <xdr:to>
      <xdr:col>25</xdr:col>
      <xdr:colOff>19050</xdr:colOff>
      <xdr:row>259</xdr:row>
      <xdr:rowOff>133350</xdr:rowOff>
    </xdr:to>
    <xdr:graphicFrame macro="">
      <xdr:nvGraphicFramePr>
        <xdr:cNvPr id="702392" name="Graphique 1">
          <a:extLst>
            <a:ext uri="{FF2B5EF4-FFF2-40B4-BE49-F238E27FC236}">
              <a16:creationId xmlns:a16="http://schemas.microsoft.com/office/drawing/2014/main" id="{00000000-0008-0000-0000-0000B8B7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419100</xdr:colOff>
      <xdr:row>261</xdr:row>
      <xdr:rowOff>19050</xdr:rowOff>
    </xdr:from>
    <xdr:to>
      <xdr:col>24</xdr:col>
      <xdr:colOff>514350</xdr:colOff>
      <xdr:row>286</xdr:row>
      <xdr:rowOff>28575</xdr:rowOff>
    </xdr:to>
    <xdr:graphicFrame macro="">
      <xdr:nvGraphicFramePr>
        <xdr:cNvPr id="702393" name="Graphique 3">
          <a:extLst>
            <a:ext uri="{FF2B5EF4-FFF2-40B4-BE49-F238E27FC236}">
              <a16:creationId xmlns:a16="http://schemas.microsoft.com/office/drawing/2014/main" id="{00000000-0008-0000-0000-0000B9B7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9525</xdr:colOff>
      <xdr:row>286</xdr:row>
      <xdr:rowOff>95250</xdr:rowOff>
    </xdr:from>
    <xdr:to>
      <xdr:col>24</xdr:col>
      <xdr:colOff>552450</xdr:colOff>
      <xdr:row>308</xdr:row>
      <xdr:rowOff>123825</xdr:rowOff>
    </xdr:to>
    <xdr:graphicFrame macro="">
      <xdr:nvGraphicFramePr>
        <xdr:cNvPr id="702394" name="Graphique 4">
          <a:extLst>
            <a:ext uri="{FF2B5EF4-FFF2-40B4-BE49-F238E27FC236}">
              <a16:creationId xmlns:a16="http://schemas.microsoft.com/office/drawing/2014/main" id="{00000000-0008-0000-0000-0000BAB7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311</xdr:row>
      <xdr:rowOff>114300</xdr:rowOff>
    </xdr:from>
    <xdr:to>
      <xdr:col>24</xdr:col>
      <xdr:colOff>542925</xdr:colOff>
      <xdr:row>336</xdr:row>
      <xdr:rowOff>123825</xdr:rowOff>
    </xdr:to>
    <xdr:graphicFrame macro="">
      <xdr:nvGraphicFramePr>
        <xdr:cNvPr id="702395" name="Graphique 5">
          <a:extLst>
            <a:ext uri="{FF2B5EF4-FFF2-40B4-BE49-F238E27FC236}">
              <a16:creationId xmlns:a16="http://schemas.microsoft.com/office/drawing/2014/main" id="{00000000-0008-0000-0000-0000BBB7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19050</xdr:colOff>
      <xdr:row>258</xdr:row>
      <xdr:rowOff>152400</xdr:rowOff>
    </xdr:from>
    <xdr:to>
      <xdr:col>19</xdr:col>
      <xdr:colOff>304800</xdr:colOff>
      <xdr:row>261</xdr:row>
      <xdr:rowOff>76200</xdr:rowOff>
    </xdr:to>
    <xdr:grpSp>
      <xdr:nvGrpSpPr>
        <xdr:cNvPr id="702396" name="Group 67">
          <a:extLst>
            <a:ext uri="{FF2B5EF4-FFF2-40B4-BE49-F238E27FC236}">
              <a16:creationId xmlns:a16="http://schemas.microsoft.com/office/drawing/2014/main" id="{00000000-0008-0000-0000-0000BCB70A00}"/>
            </a:ext>
          </a:extLst>
        </xdr:cNvPr>
        <xdr:cNvGrpSpPr>
          <a:grpSpLocks/>
        </xdr:cNvGrpSpPr>
      </xdr:nvGrpSpPr>
      <xdr:grpSpPr bwMode="auto">
        <a:xfrm>
          <a:off x="4194810" y="45902880"/>
          <a:ext cx="6732270" cy="426720"/>
          <a:chOff x="-1127" y="-1462380"/>
          <a:chExt cx="19923" cy="172"/>
        </a:xfrm>
      </xdr:grpSpPr>
      <xdr:sp macro="" textlink="">
        <xdr:nvSpPr>
          <xdr:cNvPr id="702410" name="Rectangle 24">
            <a:extLst>
              <a:ext uri="{FF2B5EF4-FFF2-40B4-BE49-F238E27FC236}">
                <a16:creationId xmlns:a16="http://schemas.microsoft.com/office/drawing/2014/main" id="{00000000-0008-0000-0000-0000CAB70A00}"/>
              </a:ext>
            </a:extLst>
          </xdr:cNvPr>
          <xdr:cNvSpPr>
            <a:spLocks noChangeArrowheads="1"/>
          </xdr:cNvSpPr>
        </xdr:nvSpPr>
        <xdr:spPr bwMode="auto">
          <a:xfrm>
            <a:off x="-1127" y="-1462380"/>
            <a:ext cx="19923" cy="172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702411" name="Rectangle 25">
            <a:extLst>
              <a:ext uri="{FF2B5EF4-FFF2-40B4-BE49-F238E27FC236}">
                <a16:creationId xmlns:a16="http://schemas.microsoft.com/office/drawing/2014/main" id="{00000000-0008-0000-0000-0000CBB70A00}"/>
              </a:ext>
            </a:extLst>
          </xdr:cNvPr>
          <xdr:cNvSpPr>
            <a:spLocks noChangeArrowheads="1"/>
          </xdr:cNvSpPr>
        </xdr:nvSpPr>
        <xdr:spPr bwMode="auto">
          <a:xfrm>
            <a:off x="-953" y="-1462312"/>
            <a:ext cx="1392" cy="32"/>
          </a:xfrm>
          <a:prstGeom prst="rect">
            <a:avLst/>
          </a:prstGeom>
          <a:blipFill dpi="0" rotWithShape="0">
            <a:blip xmlns:r="http://schemas.openxmlformats.org/officeDocument/2006/relationships" r:embed="rId5"/>
            <a:srcRect/>
            <a:tile tx="0" ty="0" sx="100000" sy="100000" flip="none" algn="tl"/>
          </a:blip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050" name="Texte 26">
            <a:extLst>
              <a:ext uri="{FF2B5EF4-FFF2-40B4-BE49-F238E27FC236}">
                <a16:creationId xmlns:a16="http://schemas.microsoft.com/office/drawing/2014/main" id="{00000000-0008-0000-0000-00001A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4" y="-1462328"/>
            <a:ext cx="1566" cy="6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STOCKS</a:t>
            </a:r>
            <a:endParaRPr lang="fr-FR"/>
          </a:p>
        </xdr:txBody>
      </xdr:sp>
      <xdr:grpSp>
        <xdr:nvGrpSpPr>
          <xdr:cNvPr id="702413" name="Group 66">
            <a:extLst>
              <a:ext uri="{FF2B5EF4-FFF2-40B4-BE49-F238E27FC236}">
                <a16:creationId xmlns:a16="http://schemas.microsoft.com/office/drawing/2014/main" id="{00000000-0008-0000-0000-0000CDB70A00}"/>
              </a:ext>
            </a:extLst>
          </xdr:cNvPr>
          <xdr:cNvGrpSpPr>
            <a:grpSpLocks/>
          </xdr:cNvGrpSpPr>
        </xdr:nvGrpSpPr>
        <xdr:grpSpPr bwMode="auto">
          <a:xfrm>
            <a:off x="2411" y="-1462312"/>
            <a:ext cx="1943" cy="36"/>
            <a:chOff x="11000000" y="90140000"/>
            <a:chExt cx="1340000" cy="180000"/>
          </a:xfrm>
        </xdr:grpSpPr>
        <xdr:sp macro="" textlink="">
          <xdr:nvSpPr>
            <xdr:cNvPr id="702420" name="Line 27">
              <a:extLst>
                <a:ext uri="{FF2B5EF4-FFF2-40B4-BE49-F238E27FC236}">
                  <a16:creationId xmlns:a16="http://schemas.microsoft.com/office/drawing/2014/main" id="{00000000-0008-0000-0000-0000D4B70A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000000" y="90220000"/>
              <a:ext cx="134000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2421" name="Oval 28">
              <a:extLst>
                <a:ext uri="{FF2B5EF4-FFF2-40B4-BE49-F238E27FC236}">
                  <a16:creationId xmlns:a16="http://schemas.microsoft.com/office/drawing/2014/main" id="{00000000-0008-0000-0000-0000D5B70A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640000" y="90140000"/>
              <a:ext cx="140000" cy="180000"/>
            </a:xfrm>
            <a:prstGeom prst="ellipse">
              <a:avLst/>
            </a:prstGeom>
            <a:blipFill dpi="0" rotWithShape="0">
              <a:blip xmlns:r="http://schemas.openxmlformats.org/officeDocument/2006/relationships" r:embed="rId5"/>
              <a:srcRect/>
              <a:tile tx="0" ty="0" sx="100000" sy="100000" flip="none" algn="tl"/>
            </a:blip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</xdr:grpSp>
      <xdr:sp macro="" textlink="">
        <xdr:nvSpPr>
          <xdr:cNvPr id="1053" name="Texte 29">
            <a:extLst>
              <a:ext uri="{FF2B5EF4-FFF2-40B4-BE49-F238E27FC236}">
                <a16:creationId xmlns:a16="http://schemas.microsoft.com/office/drawing/2014/main" id="{00000000-0008-0000-0000-00001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86" y="-1462328"/>
            <a:ext cx="2900" cy="6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RESERVATIONS</a:t>
            </a:r>
            <a:endParaRPr lang="fr-FR"/>
          </a:p>
        </xdr:txBody>
      </xdr:sp>
      <xdr:sp macro="" textlink="">
        <xdr:nvSpPr>
          <xdr:cNvPr id="702415" name="Line 30">
            <a:extLst>
              <a:ext uri="{FF2B5EF4-FFF2-40B4-BE49-F238E27FC236}">
                <a16:creationId xmlns:a16="http://schemas.microsoft.com/office/drawing/2014/main" id="{00000000-0008-0000-0000-0000CFB70A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515" y="-1462296"/>
            <a:ext cx="194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2416" name="Rectangle 31">
            <a:extLst>
              <a:ext uri="{FF2B5EF4-FFF2-40B4-BE49-F238E27FC236}">
                <a16:creationId xmlns:a16="http://schemas.microsoft.com/office/drawing/2014/main" id="{00000000-0008-0000-0000-0000D0B70A00}"/>
              </a:ext>
            </a:extLst>
          </xdr:cNvPr>
          <xdr:cNvSpPr>
            <a:spLocks noChangeArrowheads="1"/>
          </xdr:cNvSpPr>
        </xdr:nvSpPr>
        <xdr:spPr bwMode="auto">
          <a:xfrm>
            <a:off x="8356" y="-1462308"/>
            <a:ext cx="261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056" name="Texte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16" y="-1462320"/>
            <a:ext cx="2407" cy="6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SIGNATURES</a:t>
            </a:r>
            <a:endParaRPr lang="fr-FR"/>
          </a:p>
        </xdr:txBody>
      </xdr:sp>
      <xdr:sp macro="" textlink="">
        <xdr:nvSpPr>
          <xdr:cNvPr id="702418" name="Line 34">
            <a:extLst>
              <a:ext uri="{FF2B5EF4-FFF2-40B4-BE49-F238E27FC236}">
                <a16:creationId xmlns:a16="http://schemas.microsoft.com/office/drawing/2014/main" id="{00000000-0008-0000-0000-0000D2B70A00}"/>
              </a:ext>
            </a:extLst>
          </xdr:cNvPr>
          <xdr:cNvSpPr>
            <a:spLocks noChangeShapeType="1"/>
          </xdr:cNvSpPr>
        </xdr:nvSpPr>
        <xdr:spPr bwMode="auto">
          <a:xfrm>
            <a:off x="12039" y="-1462292"/>
            <a:ext cx="1943" cy="0"/>
          </a:xfrm>
          <a:prstGeom prst="line">
            <a:avLst/>
          </a:prstGeom>
          <a:noFill/>
          <a:ln w="2476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59" name="Texte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43" y="-1462324"/>
            <a:ext cx="4466" cy="6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TRANCHES DE TRAVAUX</a:t>
            </a:r>
            <a:endParaRPr lang="fr-FR"/>
          </a:p>
        </xdr:txBody>
      </xdr:sp>
    </xdr:grpSp>
    <xdr:clientData/>
  </xdr:twoCellAnchor>
  <xdr:twoCellAnchor>
    <xdr:from>
      <xdr:col>7</xdr:col>
      <xdr:colOff>552450</xdr:colOff>
      <xdr:row>309</xdr:row>
      <xdr:rowOff>28575</xdr:rowOff>
    </xdr:from>
    <xdr:to>
      <xdr:col>19</xdr:col>
      <xdr:colOff>276225</xdr:colOff>
      <xdr:row>311</xdr:row>
      <xdr:rowOff>114300</xdr:rowOff>
    </xdr:to>
    <xdr:grpSp>
      <xdr:nvGrpSpPr>
        <xdr:cNvPr id="702397" name="Group 81">
          <a:extLst>
            <a:ext uri="{FF2B5EF4-FFF2-40B4-BE49-F238E27FC236}">
              <a16:creationId xmlns:a16="http://schemas.microsoft.com/office/drawing/2014/main" id="{00000000-0008-0000-0000-0000BDB70A00}"/>
            </a:ext>
          </a:extLst>
        </xdr:cNvPr>
        <xdr:cNvGrpSpPr>
          <a:grpSpLocks/>
        </xdr:cNvGrpSpPr>
      </xdr:nvGrpSpPr>
      <xdr:grpSpPr bwMode="auto">
        <a:xfrm>
          <a:off x="4149090" y="54328695"/>
          <a:ext cx="6749415" cy="421005"/>
          <a:chOff x="-424" y="-1927774"/>
          <a:chExt cx="18549" cy="215"/>
        </a:xfrm>
      </xdr:grpSpPr>
      <xdr:sp macro="" textlink="">
        <xdr:nvSpPr>
          <xdr:cNvPr id="702398" name="Rectangle 82">
            <a:extLst>
              <a:ext uri="{FF2B5EF4-FFF2-40B4-BE49-F238E27FC236}">
                <a16:creationId xmlns:a16="http://schemas.microsoft.com/office/drawing/2014/main" id="{00000000-0008-0000-0000-0000BEB70A00}"/>
              </a:ext>
            </a:extLst>
          </xdr:cNvPr>
          <xdr:cNvSpPr>
            <a:spLocks noChangeArrowheads="1"/>
          </xdr:cNvSpPr>
        </xdr:nvSpPr>
        <xdr:spPr bwMode="auto">
          <a:xfrm>
            <a:off x="-424" y="-1927774"/>
            <a:ext cx="18549" cy="215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702399" name="Rectangle 83">
            <a:extLst>
              <a:ext uri="{FF2B5EF4-FFF2-40B4-BE49-F238E27FC236}">
                <a16:creationId xmlns:a16="http://schemas.microsoft.com/office/drawing/2014/main" id="{00000000-0008-0000-0000-0000BFB70A00}"/>
              </a:ext>
            </a:extLst>
          </xdr:cNvPr>
          <xdr:cNvSpPr>
            <a:spLocks noChangeArrowheads="1"/>
          </xdr:cNvSpPr>
        </xdr:nvSpPr>
        <xdr:spPr bwMode="auto">
          <a:xfrm>
            <a:off x="-262" y="-1927694"/>
            <a:ext cx="1296" cy="45"/>
          </a:xfrm>
          <a:prstGeom prst="rect">
            <a:avLst/>
          </a:prstGeom>
          <a:blipFill dpi="0" rotWithShape="0">
            <a:blip xmlns:r="http://schemas.openxmlformats.org/officeDocument/2006/relationships" r:embed="rId5"/>
            <a:srcRect/>
            <a:tile tx="0" ty="0" sx="100000" sy="100000" flip="none" algn="tl"/>
          </a:blip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08" name="Texte 84">
            <a:extLst>
              <a:ext uri="{FF2B5EF4-FFF2-40B4-BE49-F238E27FC236}">
                <a16:creationId xmlns:a16="http://schemas.microsoft.com/office/drawing/2014/main" id="{00000000-0008-0000-0000-000054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69" y="-1927709"/>
            <a:ext cx="1458" cy="8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STOCKS</a:t>
            </a:r>
            <a:endParaRPr lang="fr-FR"/>
          </a:p>
        </xdr:txBody>
      </xdr:sp>
      <xdr:grpSp>
        <xdr:nvGrpSpPr>
          <xdr:cNvPr id="702401" name="Group 85">
            <a:extLst>
              <a:ext uri="{FF2B5EF4-FFF2-40B4-BE49-F238E27FC236}">
                <a16:creationId xmlns:a16="http://schemas.microsoft.com/office/drawing/2014/main" id="{00000000-0008-0000-0000-0000C1B70A00}"/>
              </a:ext>
            </a:extLst>
          </xdr:cNvPr>
          <xdr:cNvGrpSpPr>
            <a:grpSpLocks/>
          </xdr:cNvGrpSpPr>
        </xdr:nvGrpSpPr>
        <xdr:grpSpPr bwMode="auto">
          <a:xfrm>
            <a:off x="2870" y="-1927694"/>
            <a:ext cx="1809" cy="50"/>
            <a:chOff x="10940000" y="106720000"/>
            <a:chExt cx="1340000" cy="200000"/>
          </a:xfrm>
        </xdr:grpSpPr>
        <xdr:sp macro="" textlink="">
          <xdr:nvSpPr>
            <xdr:cNvPr id="702408" name="Line 86">
              <a:extLst>
                <a:ext uri="{FF2B5EF4-FFF2-40B4-BE49-F238E27FC236}">
                  <a16:creationId xmlns:a16="http://schemas.microsoft.com/office/drawing/2014/main" id="{00000000-0008-0000-0000-0000C8B70A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0940000" y="106820000"/>
              <a:ext cx="1340000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02409" name="Oval 87">
              <a:extLst>
                <a:ext uri="{FF2B5EF4-FFF2-40B4-BE49-F238E27FC236}">
                  <a16:creationId xmlns:a16="http://schemas.microsoft.com/office/drawing/2014/main" id="{00000000-0008-0000-0000-0000C9B70A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580000" y="106720000"/>
              <a:ext cx="140000" cy="200000"/>
            </a:xfrm>
            <a:prstGeom prst="ellipse">
              <a:avLst/>
            </a:prstGeom>
            <a:blipFill dpi="0" rotWithShape="0">
              <a:blip xmlns:r="http://schemas.openxmlformats.org/officeDocument/2006/relationships" r:embed="rId5"/>
              <a:srcRect/>
              <a:tile tx="0" ty="0" sx="100000" sy="100000" flip="none" algn="tl"/>
            </a:blip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</xdr:grpSp>
      <xdr:sp macro="" textlink="">
        <xdr:nvSpPr>
          <xdr:cNvPr id="1112" name="Texte 88">
            <a:extLst>
              <a:ext uri="{FF2B5EF4-FFF2-40B4-BE49-F238E27FC236}">
                <a16:creationId xmlns:a16="http://schemas.microsoft.com/office/drawing/2014/main" id="{00000000-0008-0000-0000-00005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5" y="-1927709"/>
            <a:ext cx="2700" cy="8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RESERVATIONS</a:t>
            </a:r>
            <a:endParaRPr lang="fr-FR"/>
          </a:p>
        </xdr:txBody>
      </xdr:sp>
      <xdr:sp macro="" textlink="">
        <xdr:nvSpPr>
          <xdr:cNvPr id="702403" name="Line 89">
            <a:extLst>
              <a:ext uri="{FF2B5EF4-FFF2-40B4-BE49-F238E27FC236}">
                <a16:creationId xmlns:a16="http://schemas.microsoft.com/office/drawing/2014/main" id="{00000000-0008-0000-0000-0000C3B70A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622" y="-1927669"/>
            <a:ext cx="180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2404" name="Rectangle 90">
            <a:extLst>
              <a:ext uri="{FF2B5EF4-FFF2-40B4-BE49-F238E27FC236}">
                <a16:creationId xmlns:a16="http://schemas.microsoft.com/office/drawing/2014/main" id="{00000000-0008-0000-0000-0000C4B70A00}"/>
              </a:ext>
            </a:extLst>
          </xdr:cNvPr>
          <xdr:cNvSpPr>
            <a:spLocks noChangeArrowheads="1"/>
          </xdr:cNvSpPr>
        </xdr:nvSpPr>
        <xdr:spPr bwMode="auto">
          <a:xfrm>
            <a:off x="8405" y="-1927684"/>
            <a:ext cx="243" cy="4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115" name="Texte 91">
            <a:extLst>
              <a:ext uri="{FF2B5EF4-FFF2-40B4-BE49-F238E27FC236}">
                <a16:creationId xmlns:a16="http://schemas.microsoft.com/office/drawing/2014/main" id="{00000000-0008-0000-0000-00005B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85" y="-1927704"/>
            <a:ext cx="2241" cy="8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SIGNATURES</a:t>
            </a:r>
            <a:endParaRPr lang="fr-FR"/>
          </a:p>
        </xdr:txBody>
      </xdr:sp>
      <xdr:sp macro="" textlink="">
        <xdr:nvSpPr>
          <xdr:cNvPr id="702406" name="Line 92">
            <a:extLst>
              <a:ext uri="{FF2B5EF4-FFF2-40B4-BE49-F238E27FC236}">
                <a16:creationId xmlns:a16="http://schemas.microsoft.com/office/drawing/2014/main" id="{00000000-0008-0000-0000-0000C6B70A00}"/>
              </a:ext>
            </a:extLst>
          </xdr:cNvPr>
          <xdr:cNvSpPr>
            <a:spLocks noChangeShapeType="1"/>
          </xdr:cNvSpPr>
        </xdr:nvSpPr>
        <xdr:spPr bwMode="auto">
          <a:xfrm>
            <a:off x="11834" y="-1927664"/>
            <a:ext cx="1809" cy="0"/>
          </a:xfrm>
          <a:prstGeom prst="line">
            <a:avLst/>
          </a:prstGeom>
          <a:noFill/>
          <a:ln w="2476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7" name="Texte 93">
            <a:extLst>
              <a:ext uri="{FF2B5EF4-FFF2-40B4-BE49-F238E27FC236}">
                <a16:creationId xmlns:a16="http://schemas.microsoft.com/office/drawing/2014/main" id="{00000000-0008-0000-0000-00005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886" y="-1927704"/>
            <a:ext cx="4158" cy="8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fr-FR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TRANCHES DE TRAVAUX</a:t>
            </a:r>
            <a:endParaRPr lang="fr-FR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0</xdr:row>
          <xdr:rowOff>0</xdr:rowOff>
        </xdr:from>
        <xdr:to>
          <xdr:col>2</xdr:col>
          <xdr:colOff>619125</xdr:colOff>
          <xdr:row>3</xdr:row>
          <xdr:rowOff>19050</xdr:rowOff>
        </xdr:to>
        <xdr:grpSp>
          <xdr:nvGrpSpPr>
            <xdr:cNvPr id="4890" name="Group 26">
              <a:extLst>
                <a:ext uri="{FF2B5EF4-FFF2-40B4-BE49-F238E27FC236}">
                  <a16:creationId xmlns:a16="http://schemas.microsoft.com/office/drawing/2014/main" id="{00000000-0008-0000-0200-00001A13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54305" y="0"/>
              <a:ext cx="1821180" cy="544830"/>
              <a:chOff x="16" y="0"/>
              <a:chExt cx="155" cy="58"/>
            </a:xfrm>
          </xdr:grpSpPr>
          <xdr:sp macro="" textlink="">
            <xdr:nvSpPr>
              <xdr:cNvPr id="4107" name="btn_ajoutl" hidden="1">
                <a:extLst>
                  <a:ext uri="{63B3BB69-23CF-44E3-9099-C40C66FF867C}">
                    <a14:compatExt spid="_x0000_s4107"/>
                  </a:ext>
                  <a:ext uri="{FF2B5EF4-FFF2-40B4-BE49-F238E27FC236}">
                    <a16:creationId xmlns:a16="http://schemas.microsoft.com/office/drawing/2014/main" id="{00000000-0008-0000-0200-00000B100000}"/>
                  </a:ext>
                </a:extLst>
              </xdr:cNvPr>
              <xdr:cNvSpPr/>
            </xdr:nvSpPr>
            <xdr:spPr bwMode="auto">
              <a:xfrm>
                <a:off x="16" y="0"/>
                <a:ext cx="41" cy="5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08" name="btn_suppl" hidden="1">
                <a:extLst>
                  <a:ext uri="{63B3BB69-23CF-44E3-9099-C40C66FF867C}">
                    <a14:compatExt spid="_x0000_s4108"/>
                  </a:ext>
                  <a:ext uri="{FF2B5EF4-FFF2-40B4-BE49-F238E27FC236}">
                    <a16:creationId xmlns:a16="http://schemas.microsoft.com/office/drawing/2014/main" id="{00000000-0008-0000-0200-00000C100000}"/>
                  </a:ext>
                </a:extLst>
              </xdr:cNvPr>
              <xdr:cNvSpPr/>
            </xdr:nvSpPr>
            <xdr:spPr bwMode="auto">
              <a:xfrm>
                <a:off x="62" y="0"/>
                <a:ext cx="41" cy="5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09" name="btn_imp" hidden="1">
                <a:extLst>
                  <a:ext uri="{63B3BB69-23CF-44E3-9099-C40C66FF867C}">
                    <a14:compatExt spid="_x0000_s4109"/>
                  </a:ext>
                  <a:ext uri="{FF2B5EF4-FFF2-40B4-BE49-F238E27FC236}">
                    <a16:creationId xmlns:a16="http://schemas.microsoft.com/office/drawing/2014/main" id="{00000000-0008-0000-0200-00000D100000}"/>
                  </a:ext>
                </a:extLst>
              </xdr:cNvPr>
              <xdr:cNvSpPr/>
            </xdr:nvSpPr>
            <xdr:spPr bwMode="auto">
              <a:xfrm>
                <a:off x="130" y="1"/>
                <a:ext cx="41" cy="5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xdr:twoCellAnchor editAs="oneCell">
    <xdr:from>
      <xdr:col>24</xdr:col>
      <xdr:colOff>285750</xdr:colOff>
      <xdr:row>108</xdr:row>
      <xdr:rowOff>0</xdr:rowOff>
    </xdr:from>
    <xdr:to>
      <xdr:col>26</xdr:col>
      <xdr:colOff>171450</xdr:colOff>
      <xdr:row>112</xdr:row>
      <xdr:rowOff>76200</xdr:rowOff>
    </xdr:to>
    <xdr:pic>
      <xdr:nvPicPr>
        <xdr:cNvPr id="4891" name="Picture 389" descr="Logo_Nexity">
          <a:extLst>
            <a:ext uri="{FF2B5EF4-FFF2-40B4-BE49-F238E27FC236}">
              <a16:creationId xmlns:a16="http://schemas.microsoft.com/office/drawing/2014/main" id="{00000000-0008-0000-0200-00001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6025" y="17640300"/>
          <a:ext cx="9525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7</xdr:row>
          <xdr:rowOff>76200</xdr:rowOff>
        </xdr:from>
        <xdr:to>
          <xdr:col>1</xdr:col>
          <xdr:colOff>259080</xdr:colOff>
          <xdr:row>9</xdr:row>
          <xdr:rowOff>76200</xdr:rowOff>
        </xdr:to>
        <xdr:sp macro="" textlink="">
          <xdr:nvSpPr>
            <xdr:cNvPr id="2073" name="btn_Calcul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9</xdr:row>
          <xdr:rowOff>99060</xdr:rowOff>
        </xdr:from>
        <xdr:to>
          <xdr:col>1</xdr:col>
          <xdr:colOff>266700</xdr:colOff>
          <xdr:row>12</xdr:row>
          <xdr:rowOff>0</xdr:rowOff>
        </xdr:to>
        <xdr:sp macro="" textlink="">
          <xdr:nvSpPr>
            <xdr:cNvPr id="2074" name="btn_Edition1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12</xdr:row>
          <xdr:rowOff>0</xdr:rowOff>
        </xdr:from>
        <xdr:to>
          <xdr:col>1</xdr:col>
          <xdr:colOff>266700</xdr:colOff>
          <xdr:row>14</xdr:row>
          <xdr:rowOff>83820</xdr:rowOff>
        </xdr:to>
        <xdr:sp macro="" textlink="">
          <xdr:nvSpPr>
            <xdr:cNvPr id="2075" name="btn_Edition5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3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14</xdr:row>
          <xdr:rowOff>83820</xdr:rowOff>
        </xdr:from>
        <xdr:to>
          <xdr:col>1</xdr:col>
          <xdr:colOff>266700</xdr:colOff>
          <xdr:row>16</xdr:row>
          <xdr:rowOff>175260</xdr:rowOff>
        </xdr:to>
        <xdr:sp macro="" textlink="">
          <xdr:nvSpPr>
            <xdr:cNvPr id="2076" name="btn_Edition10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3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drawing" Target="../drawings/drawing2.xml"/><Relationship Id="rId7" Type="http://schemas.openxmlformats.org/officeDocument/2006/relationships/control" Target="../activeX/activeX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3.emf"/><Relationship Id="rId5" Type="http://schemas.openxmlformats.org/officeDocument/2006/relationships/control" Target="../activeX/activeX1.xml"/><Relationship Id="rId10" Type="http://schemas.openxmlformats.org/officeDocument/2006/relationships/image" Target="../media/image5.emf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drawing" Target="../drawings/drawing3.xml"/><Relationship Id="rId7" Type="http://schemas.openxmlformats.org/officeDocument/2006/relationships/control" Target="../activeX/activeX5.xml"/><Relationship Id="rId12" Type="http://schemas.openxmlformats.org/officeDocument/2006/relationships/image" Target="../media/image10.emf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image" Target="../media/image7.emf"/><Relationship Id="rId11" Type="http://schemas.openxmlformats.org/officeDocument/2006/relationships/control" Target="../activeX/activeX7.xml"/><Relationship Id="rId5" Type="http://schemas.openxmlformats.org/officeDocument/2006/relationships/control" Target="../activeX/activeX4.xml"/><Relationship Id="rId10" Type="http://schemas.openxmlformats.org/officeDocument/2006/relationships/image" Target="../media/image9.emf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GC286"/>
  <sheetViews>
    <sheetView showGridLines="0" topLeftCell="A195" workbookViewId="0">
      <pane xSplit="2" topLeftCell="C1" activePane="topRight" state="frozenSplit"/>
      <selection activeCell="A197" sqref="A197"/>
      <selection pane="topRight" activeCell="A228" sqref="A228"/>
    </sheetView>
  </sheetViews>
  <sheetFormatPr baseColWidth="10" defaultColWidth="11.44140625" defaultRowHeight="13.2"/>
  <cols>
    <col min="1" max="1" width="6.6640625" style="131" customWidth="1"/>
    <col min="2" max="2" width="6.6640625" style="132" customWidth="1"/>
    <col min="3" max="3" width="6.88671875" style="285" customWidth="1"/>
    <col min="4" max="4" width="6.88671875" style="132" customWidth="1"/>
    <col min="5" max="13" width="8.44140625" style="132" customWidth="1"/>
    <col min="14" max="14" width="8.44140625" style="133" customWidth="1"/>
    <col min="15" max="16" width="8.44140625" style="132" customWidth="1"/>
    <col min="17" max="17" width="9.5546875" style="132" customWidth="1"/>
    <col min="18" max="25" width="8.44140625" style="132" customWidth="1"/>
    <col min="26" max="29" width="7.109375" style="132" customWidth="1"/>
    <col min="30" max="35" width="7.6640625" style="132" customWidth="1"/>
    <col min="36" max="44" width="7" style="132" customWidth="1"/>
    <col min="45" max="52" width="7.109375" style="132" customWidth="1"/>
    <col min="53" max="57" width="7" style="132" customWidth="1"/>
    <col min="58" max="58" width="7.6640625" style="138" customWidth="1"/>
    <col min="59" max="63" width="7.6640625" style="139" customWidth="1"/>
    <col min="64" max="64" width="12.109375" style="139" customWidth="1"/>
    <col min="65" max="65" width="8.109375" style="132" customWidth="1"/>
    <col min="66" max="137" width="7.6640625" style="132" customWidth="1"/>
    <col min="138" max="138" width="7.5546875" style="132" customWidth="1"/>
    <col min="139" max="185" width="7.6640625" style="132" customWidth="1"/>
    <col min="186" max="16384" width="11.44140625" style="132"/>
  </cols>
  <sheetData>
    <row r="1" spans="1:185" ht="13.8" thickBot="1">
      <c r="C1" s="132"/>
      <c r="Q1" s="132" t="s">
        <v>0</v>
      </c>
      <c r="BF1" s="132"/>
      <c r="BG1" s="132"/>
      <c r="BH1" s="132"/>
      <c r="BI1" s="132"/>
      <c r="BJ1" s="132"/>
      <c r="BK1" s="132"/>
      <c r="BL1" s="132"/>
      <c r="BM1" s="132" t="s">
        <v>1</v>
      </c>
      <c r="BN1" s="134" t="s">
        <v>2</v>
      </c>
    </row>
    <row r="2" spans="1:185" ht="13.8" thickBot="1">
      <c r="C2" s="132"/>
      <c r="Q2" s="135">
        <f>IF(CAD_DAT_1&lt;&gt;"",YEAR(CAD_DAT_1)*12+MONTH(CAD_DAT_1),0)</f>
        <v>0</v>
      </c>
      <c r="R2" s="136">
        <f>IF(CAD_DAT_2&lt;&gt;"",YEAR(CAD_DAT_2)*12+MONTH(CAD_DAT_2),0)</f>
        <v>0</v>
      </c>
      <c r="S2" s="136">
        <f>IF(CAD_DAT_3&lt;&gt;"",YEAR(CAD_DAT_3)*12+MONTH(CAD_DAT_3),0)</f>
        <v>0</v>
      </c>
      <c r="T2" s="136">
        <f>IF(CAD_DAT_4&lt;&gt;"",YEAR(CAD_DAT_4)*12+MONTH(CAD_DAT_4),0)</f>
        <v>0</v>
      </c>
      <c r="U2" s="136">
        <f>IF(CAD_DAT_5&lt;&gt;"",YEAR(CAD_DAT_5)*12+MONTH(CAD_DAT_5),0)</f>
        <v>0</v>
      </c>
      <c r="V2" s="136">
        <f>IF(CAD_DAT_6&lt;&gt;"",YEAR(CAD_DAT_6)*12+MONTH(CAD_DAT_6),0)</f>
        <v>0</v>
      </c>
      <c r="W2" s="136">
        <f>IF(CAD_DAT_7&lt;&gt;"",YEAR(CAD_DAT_7)*12+MONTH(CAD_DAT_7),0)</f>
        <v>0</v>
      </c>
      <c r="X2" s="136">
        <f>IF(CAD_DAT_8&lt;&gt;"",YEAR(CAD_DAT_8)*12+MONTH(CAD_DAT_8),0)</f>
        <v>0</v>
      </c>
      <c r="Y2" s="136">
        <f>IF(CAD_DAT_9&lt;&gt;"",YEAR(CAD_DAT_9)*12+MONTH(CAD_DAT_9),0)</f>
        <v>0</v>
      </c>
      <c r="Z2" s="137">
        <f>IF(CAD_DAT_10&lt;&gt;"",YEAR(CAD_DAT_10)*12+MONTH(CAD_DAT_10),0)</f>
        <v>0</v>
      </c>
      <c r="BG2" s="138"/>
      <c r="BJ2" s="140" t="s">
        <v>3</v>
      </c>
      <c r="BK2" s="132"/>
      <c r="BM2" s="141" t="e">
        <f>DATE(YEAR(DATE_DEBUT),MONTH(DATE_DEBUT)-1,DAY(DATE_DEBUT))</f>
        <v>#VALUE!</v>
      </c>
      <c r="BN2" s="142" t="e">
        <f>DATE(YEAR(BM2),MONTH(BM2)+1,DAY(BM2))</f>
        <v>#VALUE!</v>
      </c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2"/>
      <c r="FC2" s="142"/>
      <c r="FD2" s="142"/>
      <c r="FE2" s="142"/>
      <c r="FF2" s="142"/>
      <c r="FG2" s="142"/>
      <c r="FH2" s="142"/>
      <c r="FI2" s="142"/>
      <c r="FJ2" s="142"/>
      <c r="FK2" s="142"/>
      <c r="FL2" s="142"/>
      <c r="FM2" s="142"/>
      <c r="FN2" s="142"/>
      <c r="FO2" s="142"/>
      <c r="FP2" s="142"/>
      <c r="FQ2" s="142"/>
      <c r="FR2" s="142"/>
      <c r="FS2" s="142"/>
      <c r="FT2" s="142"/>
      <c r="FU2" s="142"/>
      <c r="FV2" s="142"/>
      <c r="FW2" s="142"/>
      <c r="FX2" s="142"/>
      <c r="FY2" s="142"/>
      <c r="FZ2" s="142"/>
      <c r="GA2" s="142"/>
      <c r="GB2" s="142"/>
      <c r="GC2" s="142"/>
    </row>
    <row r="3" spans="1:185" ht="13.8" thickBot="1">
      <c r="C3" s="143" t="s">
        <v>4</v>
      </c>
      <c r="G3" s="131"/>
      <c r="H3" s="131"/>
      <c r="BF3" s="144" t="s">
        <v>5</v>
      </c>
      <c r="BG3" s="144" t="s">
        <v>6</v>
      </c>
      <c r="BH3" s="145" t="s">
        <v>7</v>
      </c>
      <c r="BI3" s="146"/>
      <c r="BJ3" s="140" t="s">
        <v>8</v>
      </c>
      <c r="BK3" s="146"/>
      <c r="BL3" s="146"/>
      <c r="BM3" s="147" t="e">
        <f>YEAR(BM2)*12+MONTH(BM2)</f>
        <v>#VALUE!</v>
      </c>
      <c r="BN3" s="148" t="e">
        <f>YEAR(BN2)*12+MONTH(BN2)</f>
        <v>#VALUE!</v>
      </c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</row>
    <row r="4" spans="1:185" ht="13.8" thickBot="1">
      <c r="A4" s="149" t="s">
        <v>9</v>
      </c>
      <c r="B4" s="150"/>
      <c r="C4" s="151" t="s">
        <v>7</v>
      </c>
      <c r="D4" s="132" t="s">
        <v>10</v>
      </c>
      <c r="E4" s="132" t="s">
        <v>11</v>
      </c>
      <c r="P4" s="131" t="s">
        <v>12</v>
      </c>
      <c r="BF4" s="152"/>
      <c r="BG4" s="152"/>
      <c r="BH4" s="152"/>
      <c r="BI4" s="132"/>
      <c r="BJ4" s="132" t="s">
        <v>13</v>
      </c>
      <c r="BK4" s="132"/>
      <c r="BL4" s="132"/>
      <c r="BM4" s="153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</row>
    <row r="5" spans="1:185">
      <c r="A5" s="155" t="s">
        <v>14</v>
      </c>
      <c r="B5" s="156"/>
      <c r="C5" s="157">
        <v>0.19600000000000001</v>
      </c>
      <c r="D5" s="158"/>
      <c r="E5" s="159"/>
      <c r="F5" s="160"/>
      <c r="G5" s="159">
        <v>0</v>
      </c>
      <c r="H5" s="160"/>
      <c r="I5" s="159">
        <v>0</v>
      </c>
      <c r="J5" s="161"/>
      <c r="K5" s="159">
        <v>0</v>
      </c>
      <c r="L5" s="161"/>
      <c r="M5" s="159">
        <v>0</v>
      </c>
      <c r="N5" s="162"/>
      <c r="O5" s="138"/>
      <c r="P5" s="163">
        <f t="shared" ref="P5:P13" si="0">IF(D5&lt;&gt;0,YEAR(D5)*12+MONTH(D5),0)</f>
        <v>0</v>
      </c>
      <c r="Q5" s="164">
        <f t="shared" ref="Q5:Q13" si="1">IF(F5&lt;&gt;0,YEAR(F5)*12+MONTH(F5),0)</f>
        <v>0</v>
      </c>
      <c r="R5" s="164">
        <f t="shared" ref="R5:R13" si="2">IF(H5&lt;&gt;0,YEAR(H5)*12+MONTH(H5),0)</f>
        <v>0</v>
      </c>
      <c r="S5" s="164">
        <f t="shared" ref="S5:S13" si="3">IF(J5&lt;&gt;0,YEAR(J5)*12+MONTH(J5),0)</f>
        <v>0</v>
      </c>
      <c r="T5" s="165">
        <f t="shared" ref="T5:T13" si="4">IF(L5&lt;&gt;0,YEAR(L5)*12+MONTH(L5),0)</f>
        <v>0</v>
      </c>
      <c r="BF5" s="166">
        <f t="shared" ref="BF5:BF11" si="5">BG5/(1+C5)</f>
        <v>0</v>
      </c>
      <c r="BG5" s="166">
        <f t="shared" ref="BG5:BG13" si="6">E5+G5+I5+K5+M5</f>
        <v>0</v>
      </c>
      <c r="BH5" s="167">
        <f t="shared" ref="BH5:BH13" si="7">BG5-BF5</f>
        <v>0</v>
      </c>
      <c r="BM5" s="168" t="e">
        <f t="shared" ref="BM5:BN13" si="8">IF(BM$3&gt;=$P5,$E5,0)+IF(BM$3&gt;=$Q5,$G5,0)+IF(BM$3&gt;=$R5,$I5,0)+IF(BM$3&gt;=$S5,$K5,0)+IF(BM$3&gt;=$T5,$M5,0)</f>
        <v>#VALUE!</v>
      </c>
      <c r="BN5" s="169" t="e">
        <f t="shared" si="8"/>
        <v>#VALUE!</v>
      </c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</row>
    <row r="6" spans="1:185">
      <c r="A6" s="155" t="s">
        <v>15</v>
      </c>
      <c r="B6" s="156"/>
      <c r="C6" s="157">
        <v>0</v>
      </c>
      <c r="D6" s="170"/>
      <c r="E6" s="171"/>
      <c r="F6" s="172"/>
      <c r="G6" s="171">
        <v>0</v>
      </c>
      <c r="H6" s="172"/>
      <c r="I6" s="171">
        <v>0</v>
      </c>
      <c r="J6" s="173"/>
      <c r="K6" s="171">
        <v>0</v>
      </c>
      <c r="L6" s="173"/>
      <c r="M6" s="171">
        <v>0</v>
      </c>
      <c r="N6" s="162"/>
      <c r="O6" s="138"/>
      <c r="P6" s="174">
        <f t="shared" si="0"/>
        <v>0</v>
      </c>
      <c r="Q6" s="132">
        <f t="shared" si="1"/>
        <v>0</v>
      </c>
      <c r="R6" s="132">
        <f t="shared" si="2"/>
        <v>0</v>
      </c>
      <c r="S6" s="132">
        <f t="shared" si="3"/>
        <v>0</v>
      </c>
      <c r="T6" s="156">
        <f t="shared" si="4"/>
        <v>0</v>
      </c>
      <c r="BF6" s="166">
        <f t="shared" si="5"/>
        <v>0</v>
      </c>
      <c r="BG6" s="166">
        <f t="shared" si="6"/>
        <v>0</v>
      </c>
      <c r="BH6" s="167">
        <f t="shared" si="7"/>
        <v>0</v>
      </c>
      <c r="BM6" s="168" t="e">
        <f t="shared" si="8"/>
        <v>#VALUE!</v>
      </c>
      <c r="BN6" s="169" t="e">
        <f t="shared" si="8"/>
        <v>#VALUE!</v>
      </c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  <c r="DM6" s="169"/>
      <c r="DN6" s="169"/>
      <c r="DO6" s="169"/>
      <c r="DP6" s="169"/>
      <c r="DQ6" s="169"/>
      <c r="DR6" s="169"/>
      <c r="DS6" s="169"/>
      <c r="DT6" s="169"/>
      <c r="DU6" s="169"/>
      <c r="DV6" s="169"/>
      <c r="DW6" s="169"/>
      <c r="DX6" s="169"/>
      <c r="DY6" s="169"/>
      <c r="DZ6" s="169"/>
      <c r="EA6" s="169"/>
      <c r="EB6" s="169"/>
      <c r="EC6" s="169"/>
      <c r="ED6" s="169"/>
      <c r="EE6" s="169"/>
      <c r="EF6" s="169"/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  <c r="GC6" s="169"/>
    </row>
    <row r="7" spans="1:185">
      <c r="A7" s="155" t="s">
        <v>380</v>
      </c>
      <c r="B7" s="156"/>
      <c r="C7" s="157">
        <v>0</v>
      </c>
      <c r="D7" s="170"/>
      <c r="E7" s="171">
        <v>0</v>
      </c>
      <c r="F7" s="172"/>
      <c r="G7" s="171">
        <v>0</v>
      </c>
      <c r="H7" s="172"/>
      <c r="I7" s="171">
        <v>0</v>
      </c>
      <c r="J7" s="173"/>
      <c r="K7" s="171">
        <v>0</v>
      </c>
      <c r="L7" s="173"/>
      <c r="M7" s="171">
        <v>0</v>
      </c>
      <c r="N7" s="162"/>
      <c r="O7" s="138"/>
      <c r="P7" s="174">
        <f t="shared" si="0"/>
        <v>0</v>
      </c>
      <c r="Q7" s="132">
        <f t="shared" si="1"/>
        <v>0</v>
      </c>
      <c r="R7" s="132">
        <f t="shared" si="2"/>
        <v>0</v>
      </c>
      <c r="S7" s="132">
        <f t="shared" si="3"/>
        <v>0</v>
      </c>
      <c r="T7" s="156">
        <f t="shared" si="4"/>
        <v>0</v>
      </c>
      <c r="BF7" s="166">
        <f t="shared" si="5"/>
        <v>0</v>
      </c>
      <c r="BG7" s="166">
        <f t="shared" si="6"/>
        <v>0</v>
      </c>
      <c r="BH7" s="167">
        <f t="shared" si="7"/>
        <v>0</v>
      </c>
      <c r="BM7" s="168" t="e">
        <f t="shared" si="8"/>
        <v>#VALUE!</v>
      </c>
      <c r="BN7" s="169" t="e">
        <f t="shared" si="8"/>
        <v>#VALUE!</v>
      </c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</row>
    <row r="8" spans="1:185">
      <c r="A8" s="155" t="s">
        <v>381</v>
      </c>
      <c r="B8" s="156"/>
      <c r="C8" s="157">
        <v>0.19600000000000001</v>
      </c>
      <c r="D8" s="170"/>
      <c r="E8" s="171"/>
      <c r="F8" s="172"/>
      <c r="G8" s="171">
        <v>0</v>
      </c>
      <c r="H8" s="172"/>
      <c r="I8" s="171">
        <v>0</v>
      </c>
      <c r="J8" s="173"/>
      <c r="K8" s="171">
        <v>0</v>
      </c>
      <c r="L8" s="173"/>
      <c r="M8" s="171">
        <v>0</v>
      </c>
      <c r="N8" s="162"/>
      <c r="O8" s="138"/>
      <c r="P8" s="174">
        <f t="shared" si="0"/>
        <v>0</v>
      </c>
      <c r="Q8" s="132">
        <f t="shared" si="1"/>
        <v>0</v>
      </c>
      <c r="R8" s="132">
        <f t="shared" si="2"/>
        <v>0</v>
      </c>
      <c r="S8" s="132">
        <f t="shared" si="3"/>
        <v>0</v>
      </c>
      <c r="T8" s="156">
        <f t="shared" si="4"/>
        <v>0</v>
      </c>
      <c r="BF8" s="166">
        <f t="shared" si="5"/>
        <v>0</v>
      </c>
      <c r="BG8" s="166">
        <f t="shared" si="6"/>
        <v>0</v>
      </c>
      <c r="BH8" s="167">
        <f t="shared" si="7"/>
        <v>0</v>
      </c>
      <c r="BM8" s="168" t="e">
        <f t="shared" si="8"/>
        <v>#VALUE!</v>
      </c>
      <c r="BN8" s="169" t="e">
        <f t="shared" si="8"/>
        <v>#VALUE!</v>
      </c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  <c r="DM8" s="169"/>
      <c r="DN8" s="169"/>
      <c r="DO8" s="169"/>
      <c r="DP8" s="169"/>
      <c r="DQ8" s="169"/>
      <c r="DR8" s="169"/>
      <c r="DS8" s="169"/>
      <c r="DT8" s="169"/>
      <c r="DU8" s="169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</row>
    <row r="9" spans="1:185">
      <c r="A9" s="155" t="s">
        <v>382</v>
      </c>
      <c r="B9" s="156"/>
      <c r="C9" s="157">
        <v>0.19600000000000001</v>
      </c>
      <c r="D9" s="170"/>
      <c r="E9" s="171"/>
      <c r="F9" s="172"/>
      <c r="G9" s="171">
        <v>0</v>
      </c>
      <c r="H9" s="172"/>
      <c r="I9" s="171">
        <v>0</v>
      </c>
      <c r="J9" s="173"/>
      <c r="K9" s="171">
        <v>0</v>
      </c>
      <c r="L9" s="173"/>
      <c r="M9" s="171">
        <v>0</v>
      </c>
      <c r="N9" s="162"/>
      <c r="O9" s="138"/>
      <c r="P9" s="174">
        <f t="shared" si="0"/>
        <v>0</v>
      </c>
      <c r="Q9" s="132">
        <f t="shared" si="1"/>
        <v>0</v>
      </c>
      <c r="R9" s="132">
        <f t="shared" si="2"/>
        <v>0</v>
      </c>
      <c r="S9" s="132">
        <f t="shared" si="3"/>
        <v>0</v>
      </c>
      <c r="T9" s="156">
        <f t="shared" si="4"/>
        <v>0</v>
      </c>
      <c r="BF9" s="166">
        <f t="shared" si="5"/>
        <v>0</v>
      </c>
      <c r="BG9" s="166">
        <f t="shared" si="6"/>
        <v>0</v>
      </c>
      <c r="BH9" s="167">
        <f t="shared" si="7"/>
        <v>0</v>
      </c>
      <c r="BM9" s="168" t="e">
        <f t="shared" si="8"/>
        <v>#VALUE!</v>
      </c>
      <c r="BN9" s="169" t="e">
        <f t="shared" si="8"/>
        <v>#VALUE!</v>
      </c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9"/>
      <c r="GC9" s="169"/>
    </row>
    <row r="10" spans="1:185">
      <c r="A10" s="155" t="s">
        <v>383</v>
      </c>
      <c r="B10" s="156"/>
      <c r="C10" s="157">
        <v>0.19600000000000001</v>
      </c>
      <c r="D10" s="170"/>
      <c r="E10" s="171">
        <v>0</v>
      </c>
      <c r="F10" s="172"/>
      <c r="G10" s="171">
        <v>0</v>
      </c>
      <c r="H10" s="172"/>
      <c r="I10" s="171">
        <v>0</v>
      </c>
      <c r="J10" s="173"/>
      <c r="K10" s="171">
        <v>0</v>
      </c>
      <c r="L10" s="173"/>
      <c r="M10" s="171">
        <v>0</v>
      </c>
      <c r="N10" s="162"/>
      <c r="O10" s="138"/>
      <c r="P10" s="174">
        <f t="shared" si="0"/>
        <v>0</v>
      </c>
      <c r="Q10" s="132">
        <f t="shared" si="1"/>
        <v>0</v>
      </c>
      <c r="R10" s="132">
        <f t="shared" si="2"/>
        <v>0</v>
      </c>
      <c r="S10" s="132">
        <f t="shared" si="3"/>
        <v>0</v>
      </c>
      <c r="T10" s="156">
        <f t="shared" si="4"/>
        <v>0</v>
      </c>
      <c r="BF10" s="166">
        <f t="shared" si="5"/>
        <v>0</v>
      </c>
      <c r="BG10" s="166">
        <f t="shared" si="6"/>
        <v>0</v>
      </c>
      <c r="BH10" s="167">
        <f t="shared" si="7"/>
        <v>0</v>
      </c>
      <c r="BM10" s="168" t="e">
        <f t="shared" si="8"/>
        <v>#VALUE!</v>
      </c>
      <c r="BN10" s="169" t="e">
        <f t="shared" si="8"/>
        <v>#VALUE!</v>
      </c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  <c r="CN10" s="169"/>
      <c r="CO10" s="169"/>
      <c r="CP10" s="169"/>
      <c r="CQ10" s="169"/>
      <c r="CR10" s="169"/>
      <c r="CS10" s="169"/>
      <c r="CT10" s="169"/>
      <c r="CU10" s="169"/>
      <c r="CV10" s="169"/>
      <c r="CW10" s="169"/>
      <c r="CX10" s="169"/>
      <c r="CY10" s="169"/>
      <c r="CZ10" s="169"/>
      <c r="DA10" s="169"/>
      <c r="DB10" s="169"/>
      <c r="DC10" s="169"/>
      <c r="DD10" s="169"/>
      <c r="DE10" s="169"/>
      <c r="DF10" s="169"/>
      <c r="DG10" s="169"/>
      <c r="DH10" s="169"/>
      <c r="DI10" s="169"/>
      <c r="DJ10" s="169"/>
      <c r="DK10" s="169"/>
      <c r="DL10" s="169"/>
      <c r="DM10" s="169"/>
      <c r="DN10" s="169"/>
      <c r="DO10" s="169"/>
      <c r="DP10" s="169"/>
      <c r="DQ10" s="169"/>
      <c r="DR10" s="169"/>
      <c r="DS10" s="169"/>
      <c r="DT10" s="169"/>
      <c r="DU10" s="169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</row>
    <row r="11" spans="1:185">
      <c r="A11" s="155" t="s">
        <v>16</v>
      </c>
      <c r="B11" s="156"/>
      <c r="C11" s="157">
        <v>0.19600000000000001</v>
      </c>
      <c r="D11" s="170"/>
      <c r="E11" s="171"/>
      <c r="F11" s="172"/>
      <c r="G11" s="171">
        <v>0</v>
      </c>
      <c r="H11" s="172"/>
      <c r="I11" s="171">
        <v>0</v>
      </c>
      <c r="J11" s="173"/>
      <c r="K11" s="171">
        <v>0</v>
      </c>
      <c r="L11" s="173"/>
      <c r="M11" s="171">
        <v>0</v>
      </c>
      <c r="N11" s="162"/>
      <c r="O11" s="138"/>
      <c r="P11" s="174">
        <f t="shared" si="0"/>
        <v>0</v>
      </c>
      <c r="Q11" s="132">
        <f t="shared" si="1"/>
        <v>0</v>
      </c>
      <c r="R11" s="132">
        <f t="shared" si="2"/>
        <v>0</v>
      </c>
      <c r="S11" s="132">
        <f t="shared" si="3"/>
        <v>0</v>
      </c>
      <c r="T11" s="156">
        <f t="shared" si="4"/>
        <v>0</v>
      </c>
      <c r="BF11" s="166">
        <f t="shared" si="5"/>
        <v>0</v>
      </c>
      <c r="BG11" s="166">
        <f t="shared" si="6"/>
        <v>0</v>
      </c>
      <c r="BH11" s="167">
        <f t="shared" si="7"/>
        <v>0</v>
      </c>
      <c r="BM11" s="168" t="e">
        <f t="shared" si="8"/>
        <v>#VALUE!</v>
      </c>
      <c r="BN11" s="169" t="e">
        <f t="shared" si="8"/>
        <v>#VALUE!</v>
      </c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  <c r="FY11" s="169"/>
      <c r="FZ11" s="169"/>
      <c r="GA11" s="169"/>
      <c r="GB11" s="169"/>
      <c r="GC11" s="169"/>
    </row>
    <row r="12" spans="1:185">
      <c r="A12" s="155" t="s">
        <v>491</v>
      </c>
      <c r="B12" s="156"/>
      <c r="C12" s="157">
        <v>0.19600000000000001</v>
      </c>
      <c r="D12" s="170"/>
      <c r="E12" s="171"/>
      <c r="F12" s="172"/>
      <c r="G12" s="171">
        <v>0</v>
      </c>
      <c r="H12" s="172"/>
      <c r="I12" s="171">
        <v>0</v>
      </c>
      <c r="J12" s="173"/>
      <c r="K12" s="171">
        <v>0</v>
      </c>
      <c r="L12" s="173"/>
      <c r="M12" s="171">
        <v>0</v>
      </c>
      <c r="N12" s="162"/>
      <c r="O12" s="138"/>
      <c r="P12" s="174">
        <f>IF(D12&lt;&gt;0,YEAR(D12)*12+MONTH(D12),0)</f>
        <v>0</v>
      </c>
      <c r="Q12" s="132">
        <f>IF(F12&lt;&gt;0,YEAR(F12)*12+MONTH(F12),0)</f>
        <v>0</v>
      </c>
      <c r="R12" s="132">
        <f>IF(H12&lt;&gt;0,YEAR(H12)*12+MONTH(H12),0)</f>
        <v>0</v>
      </c>
      <c r="S12" s="132">
        <f>IF(J12&lt;&gt;0,YEAR(J12)*12+MONTH(J12),0)</f>
        <v>0</v>
      </c>
      <c r="T12" s="156">
        <f>IF(L12&lt;&gt;0,YEAR(L12)*12+MONTH(L12),0)</f>
        <v>0</v>
      </c>
      <c r="BF12" s="166">
        <f>BG12/(1+C12)</f>
        <v>0</v>
      </c>
      <c r="BG12" s="166">
        <f>E12+G12+I12+K12+M12</f>
        <v>0</v>
      </c>
      <c r="BH12" s="167">
        <f>BG12-BF12</f>
        <v>0</v>
      </c>
      <c r="BM12" s="168" t="e">
        <f t="shared" si="8"/>
        <v>#VALUE!</v>
      </c>
      <c r="BN12" s="169" t="e">
        <f t="shared" si="8"/>
        <v>#VALUE!</v>
      </c>
      <c r="BO12" s="169"/>
      <c r="BP12" s="169"/>
      <c r="BQ12" s="169"/>
      <c r="BR12" s="169"/>
      <c r="BS12" s="169"/>
      <c r="BT12" s="169"/>
      <c r="BU12" s="169"/>
      <c r="BV12" s="169"/>
      <c r="BW12" s="169"/>
      <c r="BX12" s="169"/>
      <c r="BY12" s="169"/>
      <c r="BZ12" s="169"/>
      <c r="CA12" s="169"/>
      <c r="CB12" s="169"/>
      <c r="CC12" s="169"/>
      <c r="CD12" s="169"/>
      <c r="CE12" s="169"/>
      <c r="CF12" s="169"/>
      <c r="CG12" s="169"/>
      <c r="CH12" s="169"/>
      <c r="CI12" s="169"/>
      <c r="CJ12" s="169"/>
      <c r="CK12" s="169"/>
      <c r="CL12" s="169"/>
      <c r="CM12" s="169"/>
      <c r="CN12" s="169"/>
      <c r="CO12" s="169"/>
      <c r="CP12" s="169"/>
      <c r="CQ12" s="169"/>
      <c r="CR12" s="169"/>
      <c r="CS12" s="169"/>
      <c r="CT12" s="169"/>
      <c r="CU12" s="169"/>
      <c r="CV12" s="169"/>
      <c r="CW12" s="169"/>
      <c r="CX12" s="169"/>
      <c r="CY12" s="169"/>
      <c r="CZ12" s="169"/>
      <c r="DA12" s="169"/>
      <c r="DB12" s="169"/>
      <c r="DC12" s="169"/>
      <c r="DD12" s="169"/>
      <c r="DE12" s="169"/>
      <c r="DF12" s="169"/>
      <c r="DG12" s="169"/>
      <c r="DH12" s="169"/>
      <c r="DI12" s="169"/>
      <c r="DJ12" s="169"/>
      <c r="DK12" s="169"/>
      <c r="DL12" s="169"/>
      <c r="DM12" s="169"/>
      <c r="DN12" s="169"/>
      <c r="DO12" s="169"/>
      <c r="DP12" s="169"/>
      <c r="DQ12" s="169"/>
      <c r="DR12" s="169"/>
      <c r="DS12" s="169"/>
      <c r="DT12" s="169"/>
      <c r="DU12" s="169"/>
      <c r="DV12" s="169"/>
      <c r="DW12" s="169"/>
      <c r="DX12" s="169"/>
      <c r="DY12" s="169"/>
      <c r="DZ12" s="169"/>
      <c r="EA12" s="169"/>
      <c r="EB12" s="169"/>
      <c r="EC12" s="169"/>
      <c r="ED12" s="169"/>
      <c r="EE12" s="169"/>
      <c r="EF12" s="169"/>
      <c r="EG12" s="169"/>
      <c r="EH12" s="169"/>
      <c r="EI12" s="169"/>
      <c r="EJ12" s="169"/>
      <c r="EK12" s="169"/>
      <c r="EL12" s="169"/>
      <c r="EM12" s="169"/>
      <c r="EN12" s="169"/>
      <c r="EO12" s="169"/>
      <c r="EP12" s="169"/>
      <c r="EQ12" s="169"/>
      <c r="ER12" s="169"/>
      <c r="ES12" s="169"/>
      <c r="ET12" s="169"/>
      <c r="EU12" s="169"/>
      <c r="EV12" s="169"/>
      <c r="EW12" s="169"/>
      <c r="EX12" s="169"/>
      <c r="EY12" s="169"/>
      <c r="EZ12" s="169"/>
      <c r="FA12" s="169"/>
      <c r="FB12" s="169"/>
      <c r="FC12" s="169"/>
      <c r="FD12" s="169"/>
      <c r="FE12" s="169"/>
      <c r="FF12" s="169"/>
      <c r="FG12" s="169"/>
      <c r="FH12" s="169"/>
      <c r="FI12" s="169"/>
      <c r="FJ12" s="169"/>
      <c r="FK12" s="169"/>
      <c r="FL12" s="169"/>
      <c r="FM12" s="169"/>
      <c r="FN12" s="169"/>
      <c r="FO12" s="169"/>
      <c r="FP12" s="169"/>
      <c r="FQ12" s="169"/>
      <c r="FR12" s="169"/>
      <c r="FS12" s="169"/>
      <c r="FT12" s="169"/>
      <c r="FU12" s="169"/>
      <c r="FV12" s="169"/>
      <c r="FW12" s="169"/>
      <c r="FX12" s="169"/>
      <c r="FY12" s="169"/>
      <c r="FZ12" s="169"/>
      <c r="GA12" s="169"/>
      <c r="GB12" s="169"/>
      <c r="GC12" s="169"/>
    </row>
    <row r="13" spans="1:185" ht="13.8" thickBot="1">
      <c r="A13" s="132" t="s">
        <v>169</v>
      </c>
      <c r="B13" s="176"/>
      <c r="C13" s="157">
        <v>0.19600000000000001</v>
      </c>
      <c r="D13" s="177"/>
      <c r="E13" s="178"/>
      <c r="F13" s="179"/>
      <c r="G13" s="178">
        <v>0</v>
      </c>
      <c r="H13" s="179"/>
      <c r="I13" s="178">
        <v>0</v>
      </c>
      <c r="J13" s="180"/>
      <c r="K13" s="178">
        <v>0</v>
      </c>
      <c r="L13" s="180"/>
      <c r="M13" s="178">
        <v>0</v>
      </c>
      <c r="N13" s="162"/>
      <c r="O13" s="138"/>
      <c r="P13" s="181">
        <f t="shared" si="0"/>
        <v>0</v>
      </c>
      <c r="Q13" s="182">
        <f t="shared" si="1"/>
        <v>0</v>
      </c>
      <c r="R13" s="182">
        <f t="shared" si="2"/>
        <v>0</v>
      </c>
      <c r="S13" s="182">
        <f t="shared" si="3"/>
        <v>0</v>
      </c>
      <c r="T13" s="176">
        <f t="shared" si="4"/>
        <v>0</v>
      </c>
      <c r="BF13" s="166">
        <f>BG13/(1+C13)</f>
        <v>0</v>
      </c>
      <c r="BG13" s="166">
        <f t="shared" si="6"/>
        <v>0</v>
      </c>
      <c r="BH13" s="167">
        <f t="shared" si="7"/>
        <v>0</v>
      </c>
      <c r="BM13" s="168" t="e">
        <f t="shared" si="8"/>
        <v>#VALUE!</v>
      </c>
      <c r="BN13" s="169" t="e">
        <f t="shared" si="8"/>
        <v>#VALUE!</v>
      </c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69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69"/>
      <c r="DK13" s="169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69"/>
      <c r="EH13" s="169"/>
      <c r="EI13" s="169"/>
      <c r="EJ13" s="169"/>
      <c r="EK13" s="169"/>
      <c r="EL13" s="169"/>
      <c r="EM13" s="169"/>
      <c r="EN13" s="169"/>
      <c r="EO13" s="169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69"/>
      <c r="FF13" s="169"/>
      <c r="FG13" s="169"/>
      <c r="FH13" s="169"/>
      <c r="FI13" s="169"/>
      <c r="FJ13" s="169"/>
      <c r="FK13" s="169"/>
      <c r="FL13" s="169"/>
      <c r="FM13" s="169"/>
      <c r="FN13" s="169"/>
      <c r="FO13" s="169"/>
      <c r="FP13" s="169"/>
      <c r="FQ13" s="169"/>
      <c r="FR13" s="169"/>
      <c r="FS13" s="169"/>
      <c r="FT13" s="169"/>
      <c r="FU13" s="169"/>
      <c r="FV13" s="169"/>
      <c r="FW13" s="169"/>
      <c r="FX13" s="169"/>
      <c r="FY13" s="169"/>
      <c r="FZ13" s="169"/>
      <c r="GA13" s="169"/>
      <c r="GB13" s="169"/>
      <c r="GC13" s="169"/>
    </row>
    <row r="14" spans="1:185" ht="13.8" thickBot="1">
      <c r="A14" s="149"/>
      <c r="B14" s="150"/>
      <c r="C14" s="157"/>
      <c r="D14" s="183"/>
      <c r="F14" s="183"/>
      <c r="H14" s="183"/>
      <c r="J14" s="183"/>
      <c r="L14" s="183"/>
      <c r="BF14" s="166"/>
      <c r="BG14" s="166"/>
      <c r="BH14" s="167"/>
      <c r="BM14" s="153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</row>
    <row r="15" spans="1:185">
      <c r="A15" s="155" t="s">
        <v>464</v>
      </c>
      <c r="B15" s="156"/>
      <c r="C15" s="157">
        <v>0</v>
      </c>
      <c r="D15" s="158"/>
      <c r="E15" s="159"/>
      <c r="F15" s="160"/>
      <c r="G15" s="159"/>
      <c r="H15" s="160"/>
      <c r="I15" s="159">
        <v>0</v>
      </c>
      <c r="J15" s="161"/>
      <c r="K15" s="159">
        <v>0</v>
      </c>
      <c r="L15" s="161"/>
      <c r="M15" s="159">
        <v>0</v>
      </c>
      <c r="N15" s="162"/>
      <c r="O15" s="138"/>
      <c r="P15" s="163">
        <f t="shared" ref="P15:P20" si="9">IF(D15&lt;&gt;0,YEAR(D15)*12+MONTH(D15),0)</f>
        <v>0</v>
      </c>
      <c r="Q15" s="164">
        <f t="shared" ref="Q15:Q20" si="10">IF(F15&lt;&gt;0,YEAR(F15)*12+MONTH(F15),0)</f>
        <v>0</v>
      </c>
      <c r="R15" s="164">
        <f t="shared" ref="R15:R20" si="11">IF(H15&lt;&gt;0,YEAR(H15)*12+MONTH(H15),0)</f>
        <v>0</v>
      </c>
      <c r="S15" s="164">
        <f t="shared" ref="S15:S20" si="12">IF(J15&lt;&gt;0,YEAR(J15)*12+MONTH(J15),0)</f>
        <v>0</v>
      </c>
      <c r="T15" s="165">
        <f t="shared" ref="T15:T20" si="13">IF(L15&lt;&gt;0,YEAR(L15)*12+MONTH(L15),0)</f>
        <v>0</v>
      </c>
      <c r="BF15" s="166">
        <f t="shared" ref="BF15:BF20" si="14">BG15/(1+C15)</f>
        <v>0</v>
      </c>
      <c r="BG15" s="166">
        <f t="shared" ref="BG15:BG20" si="15">E15+G15+I15+K15+M15</f>
        <v>0</v>
      </c>
      <c r="BH15" s="167">
        <f t="shared" ref="BH15:BH20" si="16">BG15-BF15</f>
        <v>0</v>
      </c>
      <c r="BM15" s="168" t="e">
        <f t="shared" ref="BM15:BN20" si="17">IF(BM$3&gt;=$P15,$E15,0)+IF(BM$3&gt;=$Q15,$G15,0)+IF(BM$3&gt;=$R15,$I15,0)+IF(BM$3&gt;=$S15,$K15,0)+IF(BM$3&gt;=$T15,$M15,0)</f>
        <v>#VALUE!</v>
      </c>
      <c r="BN15" s="169" t="e">
        <f t="shared" si="17"/>
        <v>#VALUE!</v>
      </c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69"/>
      <c r="CQ15" s="169"/>
      <c r="CR15" s="169"/>
      <c r="CS15" s="169"/>
      <c r="CT15" s="169"/>
      <c r="CU15" s="169"/>
      <c r="CV15" s="169"/>
      <c r="CW15" s="169"/>
      <c r="CX15" s="169"/>
      <c r="CY15" s="169"/>
      <c r="CZ15" s="169"/>
      <c r="DA15" s="169"/>
      <c r="DB15" s="169"/>
      <c r="DC15" s="169"/>
      <c r="DD15" s="169"/>
      <c r="DE15" s="169"/>
      <c r="DF15" s="169"/>
      <c r="DG15" s="169"/>
      <c r="DH15" s="169"/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69"/>
      <c r="DU15" s="169"/>
      <c r="DV15" s="169"/>
      <c r="DW15" s="169"/>
      <c r="DX15" s="169"/>
      <c r="DY15" s="169"/>
      <c r="DZ15" s="169"/>
      <c r="EA15" s="169"/>
      <c r="EB15" s="169"/>
      <c r="EC15" s="169"/>
      <c r="ED15" s="169"/>
      <c r="EE15" s="169"/>
      <c r="EF15" s="169"/>
      <c r="EG15" s="169"/>
      <c r="EH15" s="169"/>
      <c r="EI15" s="169"/>
      <c r="EJ15" s="169"/>
      <c r="EK15" s="169"/>
      <c r="EL15" s="169"/>
      <c r="EM15" s="169"/>
      <c r="EN15" s="169"/>
      <c r="EO15" s="169"/>
      <c r="EP15" s="169"/>
      <c r="EQ15" s="169"/>
      <c r="ER15" s="169"/>
      <c r="ES15" s="169"/>
      <c r="ET15" s="169"/>
      <c r="EU15" s="169"/>
      <c r="EV15" s="169"/>
      <c r="EW15" s="169"/>
      <c r="EX15" s="169"/>
      <c r="EY15" s="169"/>
      <c r="EZ15" s="169"/>
      <c r="FA15" s="169"/>
      <c r="FB15" s="169"/>
      <c r="FC15" s="169"/>
      <c r="FD15" s="169"/>
      <c r="FE15" s="169"/>
      <c r="FF15" s="169"/>
      <c r="FG15" s="169"/>
      <c r="FH15" s="169"/>
      <c r="FI15" s="169"/>
      <c r="FJ15" s="169"/>
      <c r="FK15" s="169"/>
      <c r="FL15" s="169"/>
      <c r="FM15" s="169"/>
      <c r="FN15" s="169"/>
      <c r="FO15" s="169"/>
      <c r="FP15" s="169"/>
      <c r="FQ15" s="169"/>
      <c r="FR15" s="169"/>
      <c r="FS15" s="169"/>
      <c r="FT15" s="169"/>
      <c r="FU15" s="169"/>
      <c r="FV15" s="169"/>
      <c r="FW15" s="169"/>
      <c r="FX15" s="169"/>
      <c r="FY15" s="169"/>
      <c r="FZ15" s="169"/>
      <c r="GA15" s="169"/>
      <c r="GB15" s="169"/>
      <c r="GC15" s="169"/>
    </row>
    <row r="16" spans="1:185">
      <c r="A16" s="155" t="s">
        <v>389</v>
      </c>
      <c r="B16" s="156"/>
      <c r="C16" s="157">
        <v>0</v>
      </c>
      <c r="D16" s="170"/>
      <c r="E16" s="171"/>
      <c r="F16" s="172"/>
      <c r="G16" s="171"/>
      <c r="H16" s="172"/>
      <c r="I16" s="171">
        <v>0</v>
      </c>
      <c r="J16" s="173"/>
      <c r="K16" s="171">
        <v>0</v>
      </c>
      <c r="L16" s="173"/>
      <c r="M16" s="171">
        <v>0</v>
      </c>
      <c r="N16" s="162"/>
      <c r="O16" s="138"/>
      <c r="P16" s="174">
        <f t="shared" si="9"/>
        <v>0</v>
      </c>
      <c r="Q16" s="132">
        <f t="shared" si="10"/>
        <v>0</v>
      </c>
      <c r="R16" s="132">
        <f t="shared" si="11"/>
        <v>0</v>
      </c>
      <c r="S16" s="132">
        <f t="shared" si="12"/>
        <v>0</v>
      </c>
      <c r="T16" s="156">
        <f t="shared" si="13"/>
        <v>0</v>
      </c>
      <c r="BF16" s="166">
        <f t="shared" si="14"/>
        <v>0</v>
      </c>
      <c r="BG16" s="166">
        <f t="shared" si="15"/>
        <v>0</v>
      </c>
      <c r="BH16" s="167">
        <f t="shared" si="16"/>
        <v>0</v>
      </c>
      <c r="BM16" s="168" t="e">
        <f t="shared" si="17"/>
        <v>#VALUE!</v>
      </c>
      <c r="BN16" s="169" t="e">
        <f t="shared" si="17"/>
        <v>#VALUE!</v>
      </c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69"/>
      <c r="CA16" s="169"/>
      <c r="CB16" s="169"/>
      <c r="CC16" s="169"/>
      <c r="CD16" s="169"/>
      <c r="CE16" s="169"/>
      <c r="CF16" s="169"/>
      <c r="CG16" s="169"/>
      <c r="CH16" s="169"/>
      <c r="CI16" s="169"/>
      <c r="CJ16" s="169"/>
      <c r="CK16" s="169"/>
      <c r="CL16" s="169"/>
      <c r="CM16" s="169"/>
      <c r="CN16" s="169"/>
      <c r="CO16" s="169"/>
      <c r="CP16" s="169"/>
      <c r="CQ16" s="169"/>
      <c r="CR16" s="169"/>
      <c r="CS16" s="169"/>
      <c r="CT16" s="169"/>
      <c r="CU16" s="169"/>
      <c r="CV16" s="169"/>
      <c r="CW16" s="169"/>
      <c r="CX16" s="169"/>
      <c r="CY16" s="169"/>
      <c r="CZ16" s="169"/>
      <c r="DA16" s="169"/>
      <c r="DB16" s="169"/>
      <c r="DC16" s="169"/>
      <c r="DD16" s="169"/>
      <c r="DE16" s="169"/>
      <c r="DF16" s="169"/>
      <c r="DG16" s="169"/>
      <c r="DH16" s="169"/>
      <c r="DI16" s="169"/>
      <c r="DJ16" s="169"/>
      <c r="DK16" s="169"/>
      <c r="DL16" s="169"/>
      <c r="DM16" s="169"/>
      <c r="DN16" s="169"/>
      <c r="DO16" s="169"/>
      <c r="DP16" s="169"/>
      <c r="DQ16" s="169"/>
      <c r="DR16" s="169"/>
      <c r="DS16" s="169"/>
      <c r="DT16" s="169"/>
      <c r="DU16" s="169"/>
      <c r="DV16" s="169"/>
      <c r="DW16" s="169"/>
      <c r="DX16" s="169"/>
      <c r="DY16" s="169"/>
      <c r="DZ16" s="169"/>
      <c r="EA16" s="169"/>
      <c r="EB16" s="169"/>
      <c r="EC16" s="169"/>
      <c r="ED16" s="169"/>
      <c r="EE16" s="169"/>
      <c r="EF16" s="169"/>
      <c r="EG16" s="169"/>
      <c r="EH16" s="169"/>
      <c r="EI16" s="169"/>
      <c r="EJ16" s="169"/>
      <c r="EK16" s="169"/>
      <c r="EL16" s="169"/>
      <c r="EM16" s="169"/>
      <c r="EN16" s="169"/>
      <c r="EO16" s="169"/>
      <c r="EP16" s="169"/>
      <c r="EQ16" s="169"/>
      <c r="ER16" s="169"/>
      <c r="ES16" s="169"/>
      <c r="ET16" s="169"/>
      <c r="EU16" s="169"/>
      <c r="EV16" s="169"/>
      <c r="EW16" s="169"/>
      <c r="EX16" s="169"/>
      <c r="EY16" s="169"/>
      <c r="EZ16" s="169"/>
      <c r="FA16" s="169"/>
      <c r="FB16" s="169"/>
      <c r="FC16" s="169"/>
      <c r="FD16" s="169"/>
      <c r="FE16" s="169"/>
      <c r="FF16" s="169"/>
      <c r="FG16" s="169"/>
      <c r="FH16" s="169"/>
      <c r="FI16" s="169"/>
      <c r="FJ16" s="169"/>
      <c r="FK16" s="169"/>
      <c r="FL16" s="169"/>
      <c r="FM16" s="169"/>
      <c r="FN16" s="169"/>
      <c r="FO16" s="169"/>
      <c r="FP16" s="169"/>
      <c r="FQ16" s="169"/>
      <c r="FR16" s="169"/>
      <c r="FS16" s="169"/>
      <c r="FT16" s="169"/>
      <c r="FU16" s="169"/>
      <c r="FV16" s="169"/>
      <c r="FW16" s="169"/>
      <c r="FX16" s="169"/>
      <c r="FY16" s="169"/>
      <c r="FZ16" s="169"/>
      <c r="GA16" s="169"/>
      <c r="GB16" s="169"/>
      <c r="GC16" s="169"/>
    </row>
    <row r="17" spans="1:185">
      <c r="A17" s="155" t="s">
        <v>390</v>
      </c>
      <c r="B17" s="156"/>
      <c r="C17" s="157">
        <v>0</v>
      </c>
      <c r="D17" s="170"/>
      <c r="E17" s="171">
        <v>0</v>
      </c>
      <c r="F17" s="172"/>
      <c r="G17" s="171">
        <v>0</v>
      </c>
      <c r="H17" s="172"/>
      <c r="I17" s="171">
        <v>0</v>
      </c>
      <c r="J17" s="173"/>
      <c r="K17" s="171">
        <v>0</v>
      </c>
      <c r="L17" s="173"/>
      <c r="M17" s="171">
        <v>0</v>
      </c>
      <c r="N17" s="162"/>
      <c r="O17" s="138"/>
      <c r="P17" s="174">
        <f t="shared" si="9"/>
        <v>0</v>
      </c>
      <c r="Q17" s="132">
        <f t="shared" si="10"/>
        <v>0</v>
      </c>
      <c r="R17" s="132">
        <f t="shared" si="11"/>
        <v>0</v>
      </c>
      <c r="S17" s="132">
        <f t="shared" si="12"/>
        <v>0</v>
      </c>
      <c r="T17" s="156">
        <f t="shared" si="13"/>
        <v>0</v>
      </c>
      <c r="BF17" s="166">
        <f t="shared" si="14"/>
        <v>0</v>
      </c>
      <c r="BG17" s="166">
        <f t="shared" si="15"/>
        <v>0</v>
      </c>
      <c r="BH17" s="167">
        <f t="shared" si="16"/>
        <v>0</v>
      </c>
      <c r="BM17" s="168" t="e">
        <f t="shared" si="17"/>
        <v>#VALUE!</v>
      </c>
      <c r="BN17" s="169" t="e">
        <f t="shared" si="17"/>
        <v>#VALUE!</v>
      </c>
      <c r="BO17" s="169"/>
      <c r="BP17" s="169"/>
      <c r="BQ17" s="169"/>
      <c r="BR17" s="169"/>
      <c r="BS17" s="169"/>
      <c r="BT17" s="169"/>
      <c r="BU17" s="169"/>
      <c r="BV17" s="169"/>
      <c r="BW17" s="169"/>
      <c r="BX17" s="169"/>
      <c r="BY17" s="169"/>
      <c r="BZ17" s="169"/>
      <c r="CA17" s="169"/>
      <c r="CB17" s="169"/>
      <c r="CC17" s="169"/>
      <c r="CD17" s="169"/>
      <c r="CE17" s="169"/>
      <c r="CF17" s="169"/>
      <c r="CG17" s="169"/>
      <c r="CH17" s="169"/>
      <c r="CI17" s="169"/>
      <c r="CJ17" s="169"/>
      <c r="CK17" s="169"/>
      <c r="CL17" s="169"/>
      <c r="CM17" s="169"/>
      <c r="CN17" s="169"/>
      <c r="CO17" s="169"/>
      <c r="CP17" s="169"/>
      <c r="CQ17" s="169"/>
      <c r="CR17" s="169"/>
      <c r="CS17" s="169"/>
      <c r="CT17" s="169"/>
      <c r="CU17" s="169"/>
      <c r="CV17" s="169"/>
      <c r="CW17" s="169"/>
      <c r="CX17" s="169"/>
      <c r="CY17" s="169"/>
      <c r="CZ17" s="169"/>
      <c r="DA17" s="169"/>
      <c r="DB17" s="169"/>
      <c r="DC17" s="169"/>
      <c r="DD17" s="169"/>
      <c r="DE17" s="169"/>
      <c r="DF17" s="169"/>
      <c r="DG17" s="169"/>
      <c r="DH17" s="169"/>
      <c r="DI17" s="169"/>
      <c r="DJ17" s="169"/>
      <c r="DK17" s="169"/>
      <c r="DL17" s="169"/>
      <c r="DM17" s="169"/>
      <c r="DN17" s="169"/>
      <c r="DO17" s="169"/>
      <c r="DP17" s="169"/>
      <c r="DQ17" s="169"/>
      <c r="DR17" s="169"/>
      <c r="DS17" s="169"/>
      <c r="DT17" s="169"/>
      <c r="DU17" s="169"/>
      <c r="DV17" s="169"/>
      <c r="DW17" s="169"/>
      <c r="DX17" s="169"/>
      <c r="DY17" s="169"/>
      <c r="DZ17" s="169"/>
      <c r="EA17" s="169"/>
      <c r="EB17" s="169"/>
      <c r="EC17" s="169"/>
      <c r="ED17" s="169"/>
      <c r="EE17" s="169"/>
      <c r="EF17" s="169"/>
      <c r="EG17" s="169"/>
      <c r="EH17" s="169"/>
      <c r="EI17" s="169"/>
      <c r="EJ17" s="169"/>
      <c r="EK17" s="169"/>
      <c r="EL17" s="169"/>
      <c r="EM17" s="169"/>
      <c r="EN17" s="169"/>
      <c r="EO17" s="169"/>
      <c r="EP17" s="169"/>
      <c r="EQ17" s="169"/>
      <c r="ER17" s="169"/>
      <c r="ES17" s="169"/>
      <c r="ET17" s="169"/>
      <c r="EU17" s="169"/>
      <c r="EV17" s="169"/>
      <c r="EW17" s="169"/>
      <c r="EX17" s="169"/>
      <c r="EY17" s="169"/>
      <c r="EZ17" s="169"/>
      <c r="FA17" s="169"/>
      <c r="FB17" s="169"/>
      <c r="FC17" s="169"/>
      <c r="FD17" s="169"/>
      <c r="FE17" s="169"/>
      <c r="FF17" s="169"/>
      <c r="FG17" s="169"/>
      <c r="FH17" s="169"/>
      <c r="FI17" s="169"/>
      <c r="FJ17" s="169"/>
      <c r="FK17" s="169"/>
      <c r="FL17" s="169"/>
      <c r="FM17" s="169"/>
      <c r="FN17" s="169"/>
      <c r="FO17" s="169"/>
      <c r="FP17" s="169"/>
      <c r="FQ17" s="169"/>
      <c r="FR17" s="169"/>
      <c r="FS17" s="169"/>
      <c r="FT17" s="169"/>
      <c r="FU17" s="169"/>
      <c r="FV17" s="169"/>
      <c r="FW17" s="169"/>
      <c r="FX17" s="169"/>
      <c r="FY17" s="169"/>
      <c r="FZ17" s="169"/>
      <c r="GA17" s="169"/>
      <c r="GB17" s="169"/>
      <c r="GC17" s="169"/>
    </row>
    <row r="18" spans="1:185">
      <c r="A18" s="155" t="s">
        <v>465</v>
      </c>
      <c r="B18" s="156"/>
      <c r="C18" s="157">
        <v>0.19600000000000001</v>
      </c>
      <c r="D18" s="170"/>
      <c r="E18" s="171">
        <v>0</v>
      </c>
      <c r="F18" s="172"/>
      <c r="G18" s="171">
        <v>0</v>
      </c>
      <c r="H18" s="172"/>
      <c r="I18" s="171">
        <v>0</v>
      </c>
      <c r="J18" s="173"/>
      <c r="K18" s="171">
        <v>0</v>
      </c>
      <c r="L18" s="173"/>
      <c r="M18" s="171">
        <v>0</v>
      </c>
      <c r="N18" s="162"/>
      <c r="O18" s="138"/>
      <c r="P18" s="174">
        <f t="shared" si="9"/>
        <v>0</v>
      </c>
      <c r="Q18" s="132">
        <f t="shared" si="10"/>
        <v>0</v>
      </c>
      <c r="R18" s="132">
        <f t="shared" si="11"/>
        <v>0</v>
      </c>
      <c r="S18" s="132">
        <f t="shared" si="12"/>
        <v>0</v>
      </c>
      <c r="T18" s="156">
        <f t="shared" si="13"/>
        <v>0</v>
      </c>
      <c r="BF18" s="166">
        <f t="shared" si="14"/>
        <v>0</v>
      </c>
      <c r="BG18" s="166">
        <f t="shared" si="15"/>
        <v>0</v>
      </c>
      <c r="BH18" s="167">
        <f t="shared" si="16"/>
        <v>0</v>
      </c>
      <c r="BM18" s="168" t="e">
        <f t="shared" si="17"/>
        <v>#VALUE!</v>
      </c>
      <c r="BN18" s="169" t="e">
        <f t="shared" si="17"/>
        <v>#VALUE!</v>
      </c>
      <c r="BO18" s="169"/>
      <c r="BP18" s="169"/>
      <c r="BQ18" s="169"/>
      <c r="BR18" s="169"/>
      <c r="BS18" s="169"/>
      <c r="BT18" s="169"/>
      <c r="BU18" s="169"/>
      <c r="BV18" s="169"/>
      <c r="BW18" s="169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69"/>
      <c r="CI18" s="169"/>
      <c r="CJ18" s="169"/>
      <c r="CK18" s="169"/>
      <c r="CL18" s="169"/>
      <c r="CM18" s="169"/>
      <c r="CN18" s="169"/>
      <c r="CO18" s="169"/>
      <c r="CP18" s="169"/>
      <c r="CQ18" s="169"/>
      <c r="CR18" s="169"/>
      <c r="CS18" s="169"/>
      <c r="CT18" s="169"/>
      <c r="CU18" s="169"/>
      <c r="CV18" s="169"/>
      <c r="CW18" s="169"/>
      <c r="CX18" s="169"/>
      <c r="CY18" s="169"/>
      <c r="CZ18" s="169"/>
      <c r="DA18" s="169"/>
      <c r="DB18" s="169"/>
      <c r="DC18" s="169"/>
      <c r="DD18" s="169"/>
      <c r="DE18" s="169"/>
      <c r="DF18" s="169"/>
      <c r="DG18" s="169"/>
      <c r="DH18" s="169"/>
      <c r="DI18" s="169"/>
      <c r="DJ18" s="169"/>
      <c r="DK18" s="169"/>
      <c r="DL18" s="169"/>
      <c r="DM18" s="169"/>
      <c r="DN18" s="169"/>
      <c r="DO18" s="169"/>
      <c r="DP18" s="169"/>
      <c r="DQ18" s="169"/>
      <c r="DR18" s="169"/>
      <c r="DS18" s="169"/>
      <c r="DT18" s="169"/>
      <c r="DU18" s="169"/>
      <c r="DV18" s="169"/>
      <c r="DW18" s="169"/>
      <c r="DX18" s="169"/>
      <c r="DY18" s="169"/>
      <c r="DZ18" s="169"/>
      <c r="EA18" s="169"/>
      <c r="EB18" s="169"/>
      <c r="EC18" s="169"/>
      <c r="ED18" s="169"/>
      <c r="EE18" s="169"/>
      <c r="EF18" s="169"/>
      <c r="EG18" s="169"/>
      <c r="EH18" s="169"/>
      <c r="EI18" s="169"/>
      <c r="EJ18" s="169"/>
      <c r="EK18" s="169"/>
      <c r="EL18" s="169"/>
      <c r="EM18" s="169"/>
      <c r="EN18" s="169"/>
      <c r="EO18" s="169"/>
      <c r="EP18" s="169"/>
      <c r="EQ18" s="169"/>
      <c r="ER18" s="169"/>
      <c r="ES18" s="169"/>
      <c r="ET18" s="169"/>
      <c r="EU18" s="169"/>
      <c r="EV18" s="169"/>
      <c r="EW18" s="169"/>
      <c r="EX18" s="169"/>
      <c r="EY18" s="169"/>
      <c r="EZ18" s="169"/>
      <c r="FA18" s="169"/>
      <c r="FB18" s="169"/>
      <c r="FC18" s="169"/>
      <c r="FD18" s="169"/>
      <c r="FE18" s="169"/>
      <c r="FF18" s="169"/>
      <c r="FG18" s="169"/>
      <c r="FH18" s="169"/>
      <c r="FI18" s="169"/>
      <c r="FJ18" s="169"/>
      <c r="FK18" s="169"/>
      <c r="FL18" s="169"/>
      <c r="FM18" s="169"/>
      <c r="FN18" s="169"/>
      <c r="FO18" s="169"/>
      <c r="FP18" s="169"/>
      <c r="FQ18" s="169"/>
      <c r="FR18" s="169"/>
      <c r="FS18" s="169"/>
      <c r="FT18" s="169"/>
      <c r="FU18" s="169"/>
      <c r="FV18" s="169"/>
      <c r="FW18" s="169"/>
      <c r="FX18" s="169"/>
      <c r="FY18" s="169"/>
      <c r="FZ18" s="169"/>
      <c r="GA18" s="169"/>
      <c r="GB18" s="169"/>
      <c r="GC18" s="169"/>
    </row>
    <row r="19" spans="1:185">
      <c r="A19" s="155" t="s">
        <v>392</v>
      </c>
      <c r="B19" s="156"/>
      <c r="C19" s="157">
        <v>0</v>
      </c>
      <c r="D19" s="170"/>
      <c r="E19" s="171">
        <v>0</v>
      </c>
      <c r="F19" s="172"/>
      <c r="G19" s="171">
        <v>0</v>
      </c>
      <c r="H19" s="172"/>
      <c r="I19" s="171">
        <v>0</v>
      </c>
      <c r="J19" s="173"/>
      <c r="K19" s="171">
        <v>0</v>
      </c>
      <c r="L19" s="173"/>
      <c r="M19" s="171">
        <v>0</v>
      </c>
      <c r="N19" s="162"/>
      <c r="O19" s="138"/>
      <c r="P19" s="174">
        <f t="shared" si="9"/>
        <v>0</v>
      </c>
      <c r="Q19" s="132">
        <f t="shared" si="10"/>
        <v>0</v>
      </c>
      <c r="R19" s="132">
        <f t="shared" si="11"/>
        <v>0</v>
      </c>
      <c r="S19" s="132">
        <f t="shared" si="12"/>
        <v>0</v>
      </c>
      <c r="T19" s="156">
        <f t="shared" si="13"/>
        <v>0</v>
      </c>
      <c r="BF19" s="166">
        <f t="shared" si="14"/>
        <v>0</v>
      </c>
      <c r="BG19" s="166">
        <f t="shared" si="15"/>
        <v>0</v>
      </c>
      <c r="BH19" s="167">
        <f t="shared" si="16"/>
        <v>0</v>
      </c>
      <c r="BM19" s="168" t="e">
        <f t="shared" si="17"/>
        <v>#VALUE!</v>
      </c>
      <c r="BN19" s="169" t="e">
        <f t="shared" si="17"/>
        <v>#VALUE!</v>
      </c>
      <c r="BO19" s="169"/>
      <c r="BP19" s="169"/>
      <c r="BQ19" s="169"/>
      <c r="BR19" s="169"/>
      <c r="BS19" s="169"/>
      <c r="BT19" s="169"/>
      <c r="BU19" s="169"/>
      <c r="BV19" s="169"/>
      <c r="BW19" s="169"/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  <c r="CV19" s="169"/>
      <c r="CW19" s="169"/>
      <c r="CX19" s="169"/>
      <c r="CY19" s="169"/>
      <c r="CZ19" s="169"/>
      <c r="DA19" s="169"/>
      <c r="DB19" s="169"/>
      <c r="DC19" s="169"/>
      <c r="DD19" s="169"/>
      <c r="DE19" s="169"/>
      <c r="DF19" s="169"/>
      <c r="DG19" s="169"/>
      <c r="DH19" s="169"/>
      <c r="DI19" s="169"/>
      <c r="DJ19" s="169"/>
      <c r="DK19" s="169"/>
      <c r="DL19" s="169"/>
      <c r="DM19" s="169"/>
      <c r="DN19" s="169"/>
      <c r="DO19" s="169"/>
      <c r="DP19" s="169"/>
      <c r="DQ19" s="169"/>
      <c r="DR19" s="169"/>
      <c r="DS19" s="169"/>
      <c r="DT19" s="169"/>
      <c r="DU19" s="169"/>
      <c r="DV19" s="169"/>
      <c r="DW19" s="169"/>
      <c r="DX19" s="169"/>
      <c r="DY19" s="169"/>
      <c r="DZ19" s="169"/>
      <c r="EA19" s="169"/>
      <c r="EB19" s="169"/>
      <c r="EC19" s="169"/>
      <c r="ED19" s="169"/>
      <c r="EE19" s="169"/>
      <c r="EF19" s="169"/>
      <c r="EG19" s="169"/>
      <c r="EH19" s="169"/>
      <c r="EI19" s="169"/>
      <c r="EJ19" s="169"/>
      <c r="EK19" s="169"/>
      <c r="EL19" s="169"/>
      <c r="EM19" s="169"/>
      <c r="EN19" s="169"/>
      <c r="EO19" s="169"/>
      <c r="EP19" s="169"/>
      <c r="EQ19" s="169"/>
      <c r="ER19" s="169"/>
      <c r="ES19" s="169"/>
      <c r="ET19" s="169"/>
      <c r="EU19" s="169"/>
      <c r="EV19" s="169"/>
      <c r="EW19" s="169"/>
      <c r="EX19" s="169"/>
      <c r="EY19" s="169"/>
      <c r="EZ19" s="169"/>
      <c r="FA19" s="169"/>
      <c r="FB19" s="169"/>
      <c r="FC19" s="169"/>
      <c r="FD19" s="169"/>
      <c r="FE19" s="169"/>
      <c r="FF19" s="169"/>
      <c r="FG19" s="169"/>
      <c r="FH19" s="169"/>
      <c r="FI19" s="169"/>
      <c r="FJ19" s="169"/>
      <c r="FK19" s="169"/>
      <c r="FL19" s="169"/>
      <c r="FM19" s="169"/>
      <c r="FN19" s="169"/>
      <c r="FO19" s="169"/>
      <c r="FP19" s="169"/>
      <c r="FQ19" s="169"/>
      <c r="FR19" s="169"/>
      <c r="FS19" s="169"/>
      <c r="FT19" s="169"/>
      <c r="FU19" s="169"/>
      <c r="FV19" s="169"/>
      <c r="FW19" s="169"/>
      <c r="FX19" s="169"/>
      <c r="FY19" s="169"/>
      <c r="FZ19" s="169"/>
      <c r="GA19" s="169"/>
      <c r="GB19" s="169"/>
      <c r="GC19" s="169"/>
    </row>
    <row r="20" spans="1:185" ht="13.8" thickBot="1">
      <c r="A20" s="132" t="s">
        <v>169</v>
      </c>
      <c r="B20" s="176"/>
      <c r="C20" s="157">
        <v>0.19600000000000001</v>
      </c>
      <c r="D20" s="177"/>
      <c r="E20" s="178">
        <v>0</v>
      </c>
      <c r="F20" s="179"/>
      <c r="G20" s="178">
        <v>0</v>
      </c>
      <c r="H20" s="179"/>
      <c r="I20" s="178">
        <v>0</v>
      </c>
      <c r="J20" s="180"/>
      <c r="K20" s="178">
        <v>0</v>
      </c>
      <c r="L20" s="180"/>
      <c r="M20" s="178">
        <v>0</v>
      </c>
      <c r="N20" s="162"/>
      <c r="O20" s="138"/>
      <c r="P20" s="181">
        <f t="shared" si="9"/>
        <v>0</v>
      </c>
      <c r="Q20" s="182">
        <f t="shared" si="10"/>
        <v>0</v>
      </c>
      <c r="R20" s="182">
        <f t="shared" si="11"/>
        <v>0</v>
      </c>
      <c r="S20" s="182">
        <f t="shared" si="12"/>
        <v>0</v>
      </c>
      <c r="T20" s="176">
        <f t="shared" si="13"/>
        <v>0</v>
      </c>
      <c r="BF20" s="166">
        <f t="shared" si="14"/>
        <v>0</v>
      </c>
      <c r="BG20" s="166">
        <f t="shared" si="15"/>
        <v>0</v>
      </c>
      <c r="BH20" s="167">
        <f t="shared" si="16"/>
        <v>0</v>
      </c>
      <c r="BM20" s="168" t="e">
        <f t="shared" si="17"/>
        <v>#VALUE!</v>
      </c>
      <c r="BN20" s="169" t="e">
        <f t="shared" si="17"/>
        <v>#VALUE!</v>
      </c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69"/>
      <c r="CG20" s="169"/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  <c r="EG20" s="169"/>
      <c r="EH20" s="169"/>
      <c r="EI20" s="169"/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69"/>
      <c r="FG20" s="169"/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  <c r="FY20" s="169"/>
      <c r="FZ20" s="169"/>
      <c r="GA20" s="169"/>
      <c r="GB20" s="169"/>
      <c r="GC20" s="169"/>
    </row>
    <row r="21" spans="1:185" ht="13.8" thickBot="1">
      <c r="A21" s="149"/>
      <c r="B21" s="150"/>
      <c r="C21" s="157">
        <v>0</v>
      </c>
      <c r="D21" s="183"/>
      <c r="E21" s="132">
        <v>0</v>
      </c>
      <c r="F21" s="183"/>
      <c r="G21" s="132">
        <v>0</v>
      </c>
      <c r="H21" s="183"/>
      <c r="I21" s="132">
        <v>0</v>
      </c>
      <c r="J21" s="183"/>
      <c r="K21" s="132">
        <v>0</v>
      </c>
      <c r="L21" s="183"/>
      <c r="M21" s="132">
        <v>0</v>
      </c>
      <c r="BF21" s="166"/>
      <c r="BG21" s="166"/>
      <c r="BH21" s="167"/>
      <c r="BM21" s="153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4"/>
      <c r="FG21" s="154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</row>
    <row r="22" spans="1:185">
      <c r="A22" s="155" t="s">
        <v>19</v>
      </c>
      <c r="B22" s="156"/>
      <c r="C22" s="157">
        <v>0.19600000000000001</v>
      </c>
      <c r="D22" s="160"/>
      <c r="E22" s="159"/>
      <c r="F22" s="184"/>
      <c r="G22" s="159"/>
      <c r="H22" s="184"/>
      <c r="I22" s="159">
        <v>0</v>
      </c>
      <c r="J22" s="184"/>
      <c r="K22" s="159">
        <v>0</v>
      </c>
      <c r="L22" s="184"/>
      <c r="M22" s="159">
        <v>0</v>
      </c>
      <c r="N22" s="162"/>
      <c r="O22" s="138"/>
      <c r="P22" s="163">
        <f>IF(D22&lt;&gt;0,YEAR(D22)*12+MONTH(D22)+DEC_FRN,0)</f>
        <v>0</v>
      </c>
      <c r="Q22" s="164">
        <f>IF(F22&lt;&gt;0,YEAR(F22)*12+MONTH(F22)+DEC_FRN,0)</f>
        <v>0</v>
      </c>
      <c r="R22" s="164">
        <f>IF(H22&lt;&gt;0,YEAR(H22)*12+MONTH(H22)+DEC_FRN,0)</f>
        <v>0</v>
      </c>
      <c r="S22" s="164">
        <f>IF(J22&lt;&gt;0,YEAR(J22)*12+MONTH(J22)+DEC_FRN,0)</f>
        <v>0</v>
      </c>
      <c r="T22" s="165">
        <f>IF(L22&lt;&gt;0,YEAR(L22)*12+MONTH(L22)+DEC_FRN,0)</f>
        <v>0</v>
      </c>
      <c r="BF22" s="166">
        <f>BG22/(1+C22)</f>
        <v>0</v>
      </c>
      <c r="BG22" s="166">
        <f>E22+G22+I22+K22+M22</f>
        <v>0</v>
      </c>
      <c r="BH22" s="167">
        <f>BG22-BF22</f>
        <v>0</v>
      </c>
      <c r="BM22" s="168" t="e">
        <f t="shared" ref="BM22:BN26" si="18">IF(BM$3&gt;=$P22,$E22,0)+IF(BM$3&gt;=$Q22,$G22,0)+IF(BM$3&gt;=$R22,$I22,0)+IF(BM$3&gt;=$S22,$K22,0)+IF(BM$3&gt;=$T22,$M22,0)</f>
        <v>#VALUE!</v>
      </c>
      <c r="BN22" s="169" t="e">
        <f t="shared" si="18"/>
        <v>#VALUE!</v>
      </c>
      <c r="BO22" s="169"/>
      <c r="BP22" s="169"/>
      <c r="BQ22" s="169"/>
      <c r="BR22" s="169"/>
      <c r="BS22" s="169"/>
      <c r="BT22" s="169"/>
      <c r="BU22" s="169"/>
      <c r="BV22" s="169"/>
      <c r="BW22" s="169"/>
      <c r="BX22" s="169"/>
      <c r="BY22" s="169"/>
      <c r="BZ22" s="169"/>
      <c r="CA22" s="169"/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  <c r="CN22" s="169"/>
      <c r="CO22" s="169"/>
      <c r="CP22" s="169"/>
      <c r="CQ22" s="169"/>
      <c r="CR22" s="169"/>
      <c r="CS22" s="169"/>
      <c r="CT22" s="169"/>
      <c r="CU22" s="169"/>
      <c r="CV22" s="169"/>
      <c r="CW22" s="169"/>
      <c r="CX22" s="169"/>
      <c r="CY22" s="169"/>
      <c r="CZ22" s="169"/>
      <c r="DA22" s="169"/>
      <c r="DB22" s="169"/>
      <c r="DC22" s="169"/>
      <c r="DD22" s="169"/>
      <c r="DE22" s="169"/>
      <c r="DF22" s="169"/>
      <c r="DG22" s="169"/>
      <c r="DH22" s="169"/>
      <c r="DI22" s="169"/>
      <c r="DJ22" s="169"/>
      <c r="DK22" s="169"/>
      <c r="DL22" s="169"/>
      <c r="DM22" s="169"/>
      <c r="DN22" s="169"/>
      <c r="DO22" s="169"/>
      <c r="DP22" s="169"/>
      <c r="DQ22" s="169"/>
      <c r="DR22" s="169"/>
      <c r="DS22" s="169"/>
      <c r="DT22" s="169"/>
      <c r="DU22" s="169"/>
      <c r="DV22" s="169"/>
      <c r="DW22" s="169"/>
      <c r="DX22" s="169"/>
      <c r="DY22" s="169"/>
      <c r="DZ22" s="169"/>
      <c r="EA22" s="169"/>
      <c r="EB22" s="169"/>
      <c r="EC22" s="169"/>
      <c r="ED22" s="169"/>
      <c r="EE22" s="169"/>
      <c r="EF22" s="169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69"/>
      <c r="ES22" s="169"/>
      <c r="ET22" s="169"/>
      <c r="EU22" s="169"/>
      <c r="EV22" s="169"/>
      <c r="EW22" s="169"/>
      <c r="EX22" s="169"/>
      <c r="EY22" s="169"/>
      <c r="EZ22" s="169"/>
      <c r="FA22" s="169"/>
      <c r="FB22" s="169"/>
      <c r="FC22" s="169"/>
      <c r="FD22" s="169"/>
      <c r="FE22" s="169"/>
      <c r="FF22" s="169"/>
      <c r="FG22" s="169"/>
      <c r="FH22" s="169"/>
      <c r="FI22" s="169"/>
      <c r="FJ22" s="169"/>
      <c r="FK22" s="169"/>
      <c r="FL22" s="169"/>
      <c r="FM22" s="169"/>
      <c r="FN22" s="169"/>
      <c r="FO22" s="169"/>
      <c r="FP22" s="169"/>
      <c r="FQ22" s="169"/>
      <c r="FR22" s="169"/>
      <c r="FS22" s="169"/>
      <c r="FT22" s="169"/>
      <c r="FU22" s="169"/>
      <c r="FV22" s="169"/>
      <c r="FW22" s="169"/>
      <c r="FX22" s="169"/>
      <c r="FY22" s="169"/>
      <c r="FZ22" s="169"/>
      <c r="GA22" s="169"/>
      <c r="GB22" s="169"/>
      <c r="GC22" s="169"/>
    </row>
    <row r="23" spans="1:185">
      <c r="A23" s="155" t="s">
        <v>20</v>
      </c>
      <c r="B23" s="156"/>
      <c r="C23" s="157">
        <v>0.19600000000000001</v>
      </c>
      <c r="D23" s="172"/>
      <c r="E23" s="171">
        <v>0</v>
      </c>
      <c r="F23" s="185"/>
      <c r="G23" s="171">
        <v>0</v>
      </c>
      <c r="H23" s="185"/>
      <c r="I23" s="171">
        <v>0</v>
      </c>
      <c r="J23" s="185"/>
      <c r="K23" s="171">
        <v>0</v>
      </c>
      <c r="L23" s="185"/>
      <c r="M23" s="171">
        <v>0</v>
      </c>
      <c r="N23" s="162"/>
      <c r="O23" s="138"/>
      <c r="P23" s="174">
        <f>IF(D23&lt;&gt;0,YEAR(D23)*12+MONTH(D23)+DEC_FRN,0)</f>
        <v>0</v>
      </c>
      <c r="Q23" s="132">
        <f>IF(F23&lt;&gt;0,YEAR(F23)*12+MONTH(F23)+DEC_FRN,0)</f>
        <v>0</v>
      </c>
      <c r="R23" s="132">
        <f>IF(H23&lt;&gt;0,YEAR(H23)*12+MONTH(H23)+DEC_FRN,0)</f>
        <v>0</v>
      </c>
      <c r="S23" s="132">
        <f>IF(J23&lt;&gt;0,YEAR(J23)*12+MONTH(J23)+DEC_FRN,0)</f>
        <v>0</v>
      </c>
      <c r="T23" s="156">
        <f>IF(L23&lt;&gt;0,YEAR(L23)*12+MONTH(L23)+DEC_FRN,0)</f>
        <v>0</v>
      </c>
      <c r="BF23" s="166">
        <f>BG23/(1+C23)</f>
        <v>0</v>
      </c>
      <c r="BG23" s="166">
        <f>E23+G23+I23+K23+M23</f>
        <v>0</v>
      </c>
      <c r="BH23" s="167">
        <f>BG23-BF23</f>
        <v>0</v>
      </c>
      <c r="BM23" s="168" t="e">
        <f t="shared" si="18"/>
        <v>#VALUE!</v>
      </c>
      <c r="BN23" s="169" t="e">
        <f t="shared" si="18"/>
        <v>#VALUE!</v>
      </c>
      <c r="BO23" s="169"/>
      <c r="BP23" s="169"/>
      <c r="BQ23" s="169"/>
      <c r="BR23" s="169"/>
      <c r="BS23" s="169"/>
      <c r="BT23" s="169"/>
      <c r="BU23" s="169"/>
      <c r="BV23" s="169"/>
      <c r="BW23" s="169"/>
      <c r="BX23" s="169"/>
      <c r="BY23" s="169"/>
      <c r="BZ23" s="169"/>
      <c r="CA23" s="169"/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  <c r="CN23" s="169"/>
      <c r="CO23" s="169"/>
      <c r="CP23" s="169"/>
      <c r="CQ23" s="169"/>
      <c r="CR23" s="169"/>
      <c r="CS23" s="169"/>
      <c r="CT23" s="169"/>
      <c r="CU23" s="169"/>
      <c r="CV23" s="169"/>
      <c r="CW23" s="169"/>
      <c r="CX23" s="169"/>
      <c r="CY23" s="169"/>
      <c r="CZ23" s="169"/>
      <c r="DA23" s="169"/>
      <c r="DB23" s="169"/>
      <c r="DC23" s="169"/>
      <c r="DD23" s="169"/>
      <c r="DE23" s="169"/>
      <c r="DF23" s="169"/>
      <c r="DG23" s="169"/>
      <c r="DH23" s="169"/>
      <c r="DI23" s="169"/>
      <c r="DJ23" s="169"/>
      <c r="DK23" s="169"/>
      <c r="DL23" s="169"/>
      <c r="DM23" s="169"/>
      <c r="DN23" s="169"/>
      <c r="DO23" s="169"/>
      <c r="DP23" s="169"/>
      <c r="DQ23" s="169"/>
      <c r="DR23" s="169"/>
      <c r="DS23" s="169"/>
      <c r="DT23" s="169"/>
      <c r="DU23" s="169"/>
      <c r="DV23" s="169"/>
      <c r="DW23" s="169"/>
      <c r="DX23" s="169"/>
      <c r="DY23" s="169"/>
      <c r="DZ23" s="169"/>
      <c r="EA23" s="169"/>
      <c r="EB23" s="169"/>
      <c r="EC23" s="169"/>
      <c r="ED23" s="169"/>
      <c r="EE23" s="169"/>
      <c r="EF23" s="169"/>
      <c r="EG23" s="169"/>
      <c r="EH23" s="169"/>
      <c r="EI23" s="169"/>
      <c r="EJ23" s="169"/>
      <c r="EK23" s="169"/>
      <c r="EL23" s="169"/>
      <c r="EM23" s="169"/>
      <c r="EN23" s="169"/>
      <c r="EO23" s="169"/>
      <c r="EP23" s="169"/>
      <c r="EQ23" s="169"/>
      <c r="ER23" s="169"/>
      <c r="ES23" s="169"/>
      <c r="ET23" s="169"/>
      <c r="EU23" s="169"/>
      <c r="EV23" s="169"/>
      <c r="EW23" s="169"/>
      <c r="EX23" s="169"/>
      <c r="EY23" s="169"/>
      <c r="EZ23" s="169"/>
      <c r="FA23" s="169"/>
      <c r="FB23" s="169"/>
      <c r="FC23" s="169"/>
      <c r="FD23" s="169"/>
      <c r="FE23" s="169"/>
      <c r="FF23" s="169"/>
      <c r="FG23" s="169"/>
      <c r="FH23" s="169"/>
      <c r="FI23" s="169"/>
      <c r="FJ23" s="169"/>
      <c r="FK23" s="169"/>
      <c r="FL23" s="169"/>
      <c r="FM23" s="169"/>
      <c r="FN23" s="169"/>
      <c r="FO23" s="169"/>
      <c r="FP23" s="169"/>
      <c r="FQ23" s="169"/>
      <c r="FR23" s="169"/>
      <c r="FS23" s="169"/>
      <c r="FT23" s="169"/>
      <c r="FU23" s="169"/>
      <c r="FV23" s="169"/>
      <c r="FW23" s="169"/>
      <c r="FX23" s="169"/>
      <c r="FY23" s="169"/>
      <c r="FZ23" s="169"/>
      <c r="GA23" s="169"/>
      <c r="GB23" s="169"/>
      <c r="GC23" s="169"/>
    </row>
    <row r="24" spans="1:185">
      <c r="A24" s="131" t="s">
        <v>21</v>
      </c>
      <c r="B24" s="156"/>
      <c r="C24" s="157">
        <v>0.19600000000000001</v>
      </c>
      <c r="D24" s="172"/>
      <c r="E24" s="171">
        <v>0</v>
      </c>
      <c r="F24" s="185"/>
      <c r="G24" s="171">
        <v>0</v>
      </c>
      <c r="H24" s="185"/>
      <c r="I24" s="171">
        <v>0</v>
      </c>
      <c r="J24" s="185"/>
      <c r="K24" s="171">
        <v>0</v>
      </c>
      <c r="L24" s="185"/>
      <c r="M24" s="171">
        <v>0</v>
      </c>
      <c r="N24" s="162"/>
      <c r="O24" s="138"/>
      <c r="P24" s="174">
        <f>IF(D24&lt;&gt;0,YEAR(D24)*12+MONTH(D24)+DEC_FRN,0)</f>
        <v>0</v>
      </c>
      <c r="Q24" s="132">
        <f>IF(F24&lt;&gt;0,YEAR(F24)*12+MONTH(F24)+DEC_FRN,0)</f>
        <v>0</v>
      </c>
      <c r="R24" s="132">
        <f>IF(H24&lt;&gt;0,YEAR(H24)*12+MONTH(H24)+DEC_FRN,0)</f>
        <v>0</v>
      </c>
      <c r="S24" s="132">
        <f>IF(J24&lt;&gt;0,YEAR(J24)*12+MONTH(J24)+DEC_FRN,0)</f>
        <v>0</v>
      </c>
      <c r="T24" s="156">
        <f>IF(L24&lt;&gt;0,YEAR(L24)*12+MONTH(L24)+DEC_FRN,0)</f>
        <v>0</v>
      </c>
      <c r="BF24" s="166">
        <f>BG24/(1+C24)</f>
        <v>0</v>
      </c>
      <c r="BG24" s="166">
        <f>E24+G24+I24+K24+M24</f>
        <v>0</v>
      </c>
      <c r="BH24" s="167">
        <f>BG24-BF24</f>
        <v>0</v>
      </c>
      <c r="BM24" s="168" t="e">
        <f t="shared" si="18"/>
        <v>#VALUE!</v>
      </c>
      <c r="BN24" s="169" t="e">
        <f t="shared" si="18"/>
        <v>#VALUE!</v>
      </c>
      <c r="BO24" s="169"/>
      <c r="BP24" s="169"/>
      <c r="BQ24" s="169"/>
      <c r="BR24" s="169"/>
      <c r="BS24" s="169"/>
      <c r="BT24" s="169"/>
      <c r="BU24" s="169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  <c r="CO24" s="169"/>
      <c r="CP24" s="169"/>
      <c r="CQ24" s="169"/>
      <c r="CR24" s="169"/>
      <c r="CS24" s="169"/>
      <c r="CT24" s="169"/>
      <c r="CU24" s="169"/>
      <c r="CV24" s="169"/>
      <c r="CW24" s="169"/>
      <c r="CX24" s="169"/>
      <c r="CY24" s="169"/>
      <c r="CZ24" s="169"/>
      <c r="DA24" s="169"/>
      <c r="DB24" s="169"/>
      <c r="DC24" s="169"/>
      <c r="DD24" s="169"/>
      <c r="DE24" s="169"/>
      <c r="DF24" s="169"/>
      <c r="DG24" s="169"/>
      <c r="DH24" s="169"/>
      <c r="DI24" s="169"/>
      <c r="DJ24" s="169"/>
      <c r="DK24" s="169"/>
      <c r="DL24" s="169"/>
      <c r="DM24" s="169"/>
      <c r="DN24" s="169"/>
      <c r="DO24" s="169"/>
      <c r="DP24" s="169"/>
      <c r="DQ24" s="169"/>
      <c r="DR24" s="169"/>
      <c r="DS24" s="169"/>
      <c r="DT24" s="169"/>
      <c r="DU24" s="169"/>
      <c r="DV24" s="169"/>
      <c r="DW24" s="169"/>
      <c r="DX24" s="169"/>
      <c r="DY24" s="169"/>
      <c r="DZ24" s="169"/>
      <c r="EA24" s="169"/>
      <c r="EB24" s="169"/>
      <c r="EC24" s="169"/>
      <c r="ED24" s="169"/>
      <c r="EE24" s="169"/>
      <c r="EF24" s="169"/>
      <c r="EG24" s="169"/>
      <c r="EH24" s="169"/>
      <c r="EI24" s="169"/>
      <c r="EJ24" s="169"/>
      <c r="EK24" s="169"/>
      <c r="EL24" s="169"/>
      <c r="EM24" s="169"/>
      <c r="EN24" s="169"/>
      <c r="EO24" s="169"/>
      <c r="EP24" s="169"/>
      <c r="EQ24" s="169"/>
      <c r="ER24" s="169"/>
      <c r="ES24" s="169"/>
      <c r="ET24" s="169"/>
      <c r="EU24" s="169"/>
      <c r="EV24" s="169"/>
      <c r="EW24" s="169"/>
      <c r="EX24" s="169"/>
      <c r="EY24" s="169"/>
      <c r="EZ24" s="169"/>
      <c r="FA24" s="169"/>
      <c r="FB24" s="169"/>
      <c r="FC24" s="169"/>
      <c r="FD24" s="169"/>
      <c r="FE24" s="169"/>
      <c r="FF24" s="169"/>
      <c r="FG24" s="169"/>
      <c r="FH24" s="169"/>
      <c r="FI24" s="169"/>
      <c r="FJ24" s="169"/>
      <c r="FK24" s="169"/>
      <c r="FL24" s="169"/>
      <c r="FM24" s="169"/>
      <c r="FN24" s="169"/>
      <c r="FO24" s="169"/>
      <c r="FP24" s="169"/>
      <c r="FQ24" s="169"/>
      <c r="FR24" s="169"/>
      <c r="FS24" s="169"/>
      <c r="FT24" s="169"/>
      <c r="FU24" s="169"/>
      <c r="FV24" s="169"/>
      <c r="FW24" s="169"/>
      <c r="FX24" s="169"/>
      <c r="FY24" s="169"/>
      <c r="FZ24" s="169"/>
      <c r="GA24" s="169"/>
      <c r="GB24" s="169"/>
      <c r="GC24" s="169"/>
    </row>
    <row r="25" spans="1:185">
      <c r="A25" s="131" t="s">
        <v>22</v>
      </c>
      <c r="B25" s="156"/>
      <c r="C25" s="157">
        <v>0.19600000000000001</v>
      </c>
      <c r="D25" s="172"/>
      <c r="E25" s="171">
        <v>0</v>
      </c>
      <c r="F25" s="185"/>
      <c r="G25" s="171">
        <v>0</v>
      </c>
      <c r="H25" s="185"/>
      <c r="I25" s="171">
        <v>0</v>
      </c>
      <c r="J25" s="185"/>
      <c r="K25" s="171">
        <v>0</v>
      </c>
      <c r="L25" s="185"/>
      <c r="M25" s="171">
        <v>0</v>
      </c>
      <c r="N25" s="162"/>
      <c r="O25" s="138"/>
      <c r="P25" s="174">
        <f>IF(D25&lt;&gt;0,YEAR(D25)*12+MONTH(D25)+DEC_FRN,0)</f>
        <v>0</v>
      </c>
      <c r="Q25" s="132">
        <f>IF(F25&lt;&gt;0,YEAR(F25)*12+MONTH(F25)+DEC_FRN,0)</f>
        <v>0</v>
      </c>
      <c r="R25" s="132">
        <f>IF(H25&lt;&gt;0,YEAR(H25)*12+MONTH(H25)+DEC_FRN,0)</f>
        <v>0</v>
      </c>
      <c r="S25" s="132">
        <f>IF(J25&lt;&gt;0,YEAR(J25)*12+MONTH(J25)+DEC_FRN,0)</f>
        <v>0</v>
      </c>
      <c r="T25" s="156">
        <f>IF(L25&lt;&gt;0,YEAR(L25)*12+MONTH(L25)+DEC_FRN,0)</f>
        <v>0</v>
      </c>
      <c r="BF25" s="166">
        <f>BG25/(1+C25)</f>
        <v>0</v>
      </c>
      <c r="BG25" s="166">
        <f>E25+G25+I25+K25+M25</f>
        <v>0</v>
      </c>
      <c r="BH25" s="167">
        <f>BG25-BF25</f>
        <v>0</v>
      </c>
      <c r="BM25" s="168" t="e">
        <f t="shared" si="18"/>
        <v>#VALUE!</v>
      </c>
      <c r="BN25" s="169" t="e">
        <f t="shared" si="18"/>
        <v>#VALUE!</v>
      </c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69"/>
      <c r="CE25" s="169"/>
      <c r="CF25" s="169"/>
      <c r="CG25" s="169"/>
      <c r="CH25" s="169"/>
      <c r="CI25" s="169"/>
      <c r="CJ25" s="169"/>
      <c r="CK25" s="169"/>
      <c r="CL25" s="169"/>
      <c r="CM25" s="169"/>
      <c r="CN25" s="169"/>
      <c r="CO25" s="169"/>
      <c r="CP25" s="169"/>
      <c r="CQ25" s="169"/>
      <c r="CR25" s="169"/>
      <c r="CS25" s="169"/>
      <c r="CT25" s="169"/>
      <c r="CU25" s="169"/>
      <c r="CV25" s="169"/>
      <c r="CW25" s="169"/>
      <c r="CX25" s="169"/>
      <c r="CY25" s="169"/>
      <c r="CZ25" s="169"/>
      <c r="DA25" s="169"/>
      <c r="DB25" s="169"/>
      <c r="DC25" s="169"/>
      <c r="DD25" s="169"/>
      <c r="DE25" s="169"/>
      <c r="DF25" s="169"/>
      <c r="DG25" s="169"/>
      <c r="DH25" s="169"/>
      <c r="DI25" s="169"/>
      <c r="DJ25" s="169"/>
      <c r="DK25" s="169"/>
      <c r="DL25" s="169"/>
      <c r="DM25" s="169"/>
      <c r="DN25" s="169"/>
      <c r="DO25" s="169"/>
      <c r="DP25" s="169"/>
      <c r="DQ25" s="169"/>
      <c r="DR25" s="169"/>
      <c r="DS25" s="169"/>
      <c r="DT25" s="169"/>
      <c r="DU25" s="169"/>
      <c r="DV25" s="169"/>
      <c r="DW25" s="169"/>
      <c r="DX25" s="169"/>
      <c r="DY25" s="169"/>
      <c r="DZ25" s="169"/>
      <c r="EA25" s="169"/>
      <c r="EB25" s="169"/>
      <c r="EC25" s="169"/>
      <c r="ED25" s="169"/>
      <c r="EE25" s="169"/>
      <c r="EF25" s="169"/>
      <c r="EG25" s="169"/>
      <c r="EH25" s="169"/>
      <c r="EI25" s="169"/>
      <c r="EJ25" s="169"/>
      <c r="EK25" s="169"/>
      <c r="EL25" s="169"/>
      <c r="EM25" s="169"/>
      <c r="EN25" s="169"/>
      <c r="EO25" s="169"/>
      <c r="EP25" s="169"/>
      <c r="EQ25" s="169"/>
      <c r="ER25" s="169"/>
      <c r="ES25" s="169"/>
      <c r="ET25" s="169"/>
      <c r="EU25" s="169"/>
      <c r="EV25" s="169"/>
      <c r="EW25" s="169"/>
      <c r="EX25" s="169"/>
      <c r="EY25" s="169"/>
      <c r="EZ25" s="169"/>
      <c r="FA25" s="169"/>
      <c r="FB25" s="169"/>
      <c r="FC25" s="169"/>
      <c r="FD25" s="169"/>
      <c r="FE25" s="169"/>
      <c r="FF25" s="169"/>
      <c r="FG25" s="169"/>
      <c r="FH25" s="169"/>
      <c r="FI25" s="169"/>
      <c r="FJ25" s="169"/>
      <c r="FK25" s="169"/>
      <c r="FL25" s="169"/>
      <c r="FM25" s="169"/>
      <c r="FN25" s="169"/>
      <c r="FO25" s="169"/>
      <c r="FP25" s="169"/>
      <c r="FQ25" s="169"/>
      <c r="FR25" s="169"/>
      <c r="FS25" s="169"/>
      <c r="FT25" s="169"/>
      <c r="FU25" s="169"/>
      <c r="FV25" s="169"/>
      <c r="FW25" s="169"/>
      <c r="FX25" s="169"/>
      <c r="FY25" s="169"/>
      <c r="FZ25" s="169"/>
      <c r="GA25" s="169"/>
      <c r="GB25" s="169"/>
      <c r="GC25" s="169"/>
    </row>
    <row r="26" spans="1:185" ht="13.8" thickBot="1">
      <c r="A26" s="186" t="s">
        <v>23</v>
      </c>
      <c r="B26" s="176"/>
      <c r="C26" s="157">
        <v>0.19600000000000001</v>
      </c>
      <c r="D26" s="179"/>
      <c r="E26" s="178">
        <v>0</v>
      </c>
      <c r="F26" s="187"/>
      <c r="G26" s="178">
        <v>0</v>
      </c>
      <c r="H26" s="187"/>
      <c r="I26" s="178">
        <v>0</v>
      </c>
      <c r="J26" s="187"/>
      <c r="K26" s="178">
        <v>0</v>
      </c>
      <c r="L26" s="187"/>
      <c r="M26" s="178">
        <v>0</v>
      </c>
      <c r="N26" s="162"/>
      <c r="O26" s="138"/>
      <c r="P26" s="181">
        <f>IF(D26&lt;&gt;0,YEAR(D26)*12+MONTH(D26)+DEC_FRN,0)</f>
        <v>0</v>
      </c>
      <c r="Q26" s="182">
        <f>IF(F26&lt;&gt;0,YEAR(F26)*12+MONTH(F26)+DEC_FRN,0)</f>
        <v>0</v>
      </c>
      <c r="R26" s="182">
        <f>IF(H26&lt;&gt;0,YEAR(H26)*12+MONTH(H26)+DEC_FRN,0)</f>
        <v>0</v>
      </c>
      <c r="S26" s="182">
        <f>IF(J26&lt;&gt;0,YEAR(J26)*12+MONTH(J26)+DEC_FRN,0)</f>
        <v>0</v>
      </c>
      <c r="T26" s="176">
        <f>IF(L26&lt;&gt;0,YEAR(L26)*12+MONTH(L26)+DEC_FRN,0)</f>
        <v>0</v>
      </c>
      <c r="BF26" s="166">
        <f>BG26/(1+C26)</f>
        <v>0</v>
      </c>
      <c r="BG26" s="166">
        <f>E26+G26+I26+K26+M26</f>
        <v>0</v>
      </c>
      <c r="BH26" s="167">
        <f>BG26-BF26</f>
        <v>0</v>
      </c>
      <c r="BM26" s="188" t="e">
        <f t="shared" si="18"/>
        <v>#VALUE!</v>
      </c>
      <c r="BN26" s="189" t="e">
        <f t="shared" si="18"/>
        <v>#VALUE!</v>
      </c>
      <c r="BO26" s="189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189"/>
      <c r="CC26" s="189"/>
      <c r="CD26" s="189"/>
      <c r="CE26" s="189"/>
      <c r="CF26" s="189"/>
      <c r="CG26" s="189"/>
      <c r="CH26" s="189"/>
      <c r="CI26" s="189"/>
      <c r="CJ26" s="189"/>
      <c r="CK26" s="189"/>
      <c r="CL26" s="189"/>
      <c r="CM26" s="189"/>
      <c r="CN26" s="189"/>
      <c r="CO26" s="189"/>
      <c r="CP26" s="189"/>
      <c r="CQ26" s="189"/>
      <c r="CR26" s="189"/>
      <c r="CS26" s="189"/>
      <c r="CT26" s="189"/>
      <c r="CU26" s="189"/>
      <c r="CV26" s="189"/>
      <c r="CW26" s="189"/>
      <c r="CX26" s="189"/>
      <c r="CY26" s="189"/>
      <c r="CZ26" s="189"/>
      <c r="DA26" s="189"/>
      <c r="DB26" s="189"/>
      <c r="DC26" s="189"/>
      <c r="DD26" s="189"/>
      <c r="DE26" s="189"/>
      <c r="DF26" s="189"/>
      <c r="DG26" s="189"/>
      <c r="DH26" s="189"/>
      <c r="DI26" s="189"/>
      <c r="DJ26" s="189"/>
      <c r="DK26" s="189"/>
      <c r="DL26" s="189"/>
      <c r="DM26" s="189"/>
      <c r="DN26" s="189"/>
      <c r="DO26" s="189"/>
      <c r="DP26" s="189"/>
      <c r="DQ26" s="189"/>
      <c r="DR26" s="189"/>
      <c r="DS26" s="189"/>
      <c r="DT26" s="189"/>
      <c r="DU26" s="189"/>
      <c r="DV26" s="189"/>
      <c r="DW26" s="189"/>
      <c r="DX26" s="189"/>
      <c r="DY26" s="189"/>
      <c r="DZ26" s="189"/>
      <c r="EA26" s="189"/>
      <c r="EB26" s="189"/>
      <c r="EC26" s="189"/>
      <c r="ED26" s="189"/>
      <c r="EE26" s="189"/>
      <c r="EF26" s="189"/>
      <c r="EG26" s="189"/>
      <c r="EH26" s="189"/>
      <c r="EI26" s="189"/>
      <c r="EJ26" s="189"/>
      <c r="EK26" s="189"/>
      <c r="EL26" s="189"/>
      <c r="EM26" s="189"/>
      <c r="EN26" s="189"/>
      <c r="EO26" s="189"/>
      <c r="EP26" s="189"/>
      <c r="EQ26" s="189"/>
      <c r="ER26" s="189"/>
      <c r="ES26" s="189"/>
      <c r="ET26" s="189"/>
      <c r="EU26" s="189"/>
      <c r="EV26" s="189"/>
      <c r="EW26" s="189"/>
      <c r="EX26" s="189"/>
      <c r="EY26" s="189"/>
      <c r="EZ26" s="189"/>
      <c r="FA26" s="189"/>
      <c r="FB26" s="189"/>
      <c r="FC26" s="189"/>
      <c r="FD26" s="189"/>
      <c r="FE26" s="189"/>
      <c r="FF26" s="189"/>
      <c r="FG26" s="189"/>
      <c r="FH26" s="189"/>
      <c r="FI26" s="189"/>
      <c r="FJ26" s="189"/>
      <c r="FK26" s="189"/>
      <c r="FL26" s="189"/>
      <c r="FM26" s="189"/>
      <c r="FN26" s="189"/>
      <c r="FO26" s="189"/>
      <c r="FP26" s="189"/>
      <c r="FQ26" s="189"/>
      <c r="FR26" s="189"/>
      <c r="FS26" s="189"/>
      <c r="FT26" s="189"/>
      <c r="FU26" s="189"/>
      <c r="FV26" s="189"/>
      <c r="FW26" s="189"/>
      <c r="FX26" s="189"/>
      <c r="FY26" s="189"/>
      <c r="FZ26" s="189"/>
      <c r="GA26" s="189"/>
      <c r="GB26" s="189"/>
      <c r="GC26" s="189"/>
    </row>
    <row r="27" spans="1:185">
      <c r="C27" s="157"/>
      <c r="D27" s="190"/>
      <c r="E27" s="191" t="s">
        <v>24</v>
      </c>
      <c r="F27" s="192"/>
      <c r="G27" s="193">
        <v>0.35</v>
      </c>
      <c r="H27" s="193">
        <v>0.55000000000000004</v>
      </c>
      <c r="I27" s="193">
        <v>0.65</v>
      </c>
      <c r="J27" s="193">
        <v>0.7</v>
      </c>
      <c r="K27" s="193">
        <v>0.85</v>
      </c>
      <c r="L27" s="193">
        <v>0.9</v>
      </c>
      <c r="M27" s="193">
        <v>1</v>
      </c>
      <c r="N27" s="162"/>
      <c r="O27" s="194"/>
      <c r="P27" s="195"/>
      <c r="Q27" s="196"/>
      <c r="R27" s="197" t="str">
        <f>E27</f>
        <v>% APF</v>
      </c>
      <c r="S27" s="192"/>
      <c r="T27" s="198">
        <f t="shared" ref="T27:Z28" si="19">G27</f>
        <v>0.35</v>
      </c>
      <c r="U27" s="198">
        <f t="shared" si="19"/>
        <v>0.55000000000000004</v>
      </c>
      <c r="V27" s="198">
        <f t="shared" si="19"/>
        <v>0.65</v>
      </c>
      <c r="W27" s="198">
        <f t="shared" si="19"/>
        <v>0.7</v>
      </c>
      <c r="X27" s="198">
        <f t="shared" si="19"/>
        <v>0.85</v>
      </c>
      <c r="Y27" s="198">
        <f t="shared" si="19"/>
        <v>0.9</v>
      </c>
      <c r="Z27" s="198">
        <f t="shared" si="19"/>
        <v>1</v>
      </c>
      <c r="AA27" s="198">
        <v>1</v>
      </c>
      <c r="BF27" s="166"/>
      <c r="BG27" s="166"/>
      <c r="BH27" s="167"/>
      <c r="BM27" s="168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69"/>
      <c r="FF27" s="169"/>
      <c r="FG27" s="169"/>
      <c r="FH27" s="169"/>
      <c r="FI27" s="169"/>
      <c r="FJ27" s="169"/>
      <c r="FK27" s="169"/>
      <c r="FL27" s="169"/>
      <c r="FM27" s="169"/>
      <c r="FN27" s="169"/>
      <c r="FO27" s="169"/>
      <c r="FP27" s="169"/>
      <c r="FQ27" s="169"/>
      <c r="FR27" s="169"/>
      <c r="FS27" s="169"/>
      <c r="FT27" s="169"/>
      <c r="FU27" s="169"/>
      <c r="FV27" s="169"/>
      <c r="FW27" s="169"/>
      <c r="FX27" s="169"/>
      <c r="FY27" s="169"/>
      <c r="FZ27" s="169"/>
      <c r="GA27" s="169"/>
      <c r="GB27" s="169"/>
      <c r="GC27" s="169"/>
    </row>
    <row r="28" spans="1:185" s="196" customFormat="1">
      <c r="A28" s="199"/>
      <c r="C28" s="199"/>
      <c r="E28" s="191" t="s">
        <v>25</v>
      </c>
      <c r="F28" s="192"/>
      <c r="G28" s="193">
        <v>9.7000000000000003E-2</v>
      </c>
      <c r="H28" s="193">
        <v>0.29099999999999998</v>
      </c>
      <c r="I28" s="193">
        <v>0.48499999999999999</v>
      </c>
      <c r="J28" s="193">
        <v>0.58199999999999996</v>
      </c>
      <c r="K28" s="193">
        <v>0.77600000000000002</v>
      </c>
      <c r="L28" s="193">
        <v>0.873</v>
      </c>
      <c r="M28" s="193">
        <v>0.97</v>
      </c>
      <c r="N28" s="200"/>
      <c r="O28" s="194"/>
      <c r="Q28" s="195"/>
      <c r="R28" s="197" t="str">
        <f>E28</f>
        <v>% TRAVAUX</v>
      </c>
      <c r="S28" s="201"/>
      <c r="T28" s="198">
        <f t="shared" si="19"/>
        <v>9.7000000000000003E-2</v>
      </c>
      <c r="U28" s="198">
        <f t="shared" si="19"/>
        <v>0.29099999999999998</v>
      </c>
      <c r="V28" s="198">
        <f t="shared" si="19"/>
        <v>0.48499999999999999</v>
      </c>
      <c r="W28" s="198">
        <f t="shared" si="19"/>
        <v>0.58199999999999996</v>
      </c>
      <c r="X28" s="198">
        <f t="shared" si="19"/>
        <v>0.77600000000000002</v>
      </c>
      <c r="Y28" s="198">
        <f t="shared" si="19"/>
        <v>0.873</v>
      </c>
      <c r="Z28" s="198">
        <f t="shared" si="19"/>
        <v>0.97</v>
      </c>
      <c r="AA28" s="198">
        <v>1</v>
      </c>
      <c r="BF28" s="167"/>
      <c r="BG28" s="167"/>
      <c r="BH28" s="202"/>
      <c r="BI28" s="203"/>
      <c r="BJ28" s="203"/>
      <c r="BK28" s="203"/>
      <c r="BL28" s="203"/>
      <c r="BM28" s="204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</row>
    <row r="29" spans="1:185" s="196" customFormat="1">
      <c r="A29" s="206"/>
      <c r="B29" s="207"/>
      <c r="E29" s="132"/>
      <c r="F29" s="132"/>
      <c r="G29" s="132"/>
      <c r="H29" s="132"/>
      <c r="I29" s="132"/>
      <c r="J29" s="132"/>
      <c r="K29" s="132"/>
      <c r="L29" s="132"/>
      <c r="M29" s="132"/>
      <c r="N29" s="200"/>
      <c r="O29" s="208"/>
      <c r="P29" s="209" t="s">
        <v>26</v>
      </c>
      <c r="Q29" s="210"/>
      <c r="R29" s="211" t="s">
        <v>27</v>
      </c>
      <c r="S29" s="211" t="s">
        <v>28</v>
      </c>
      <c r="T29" s="211" t="s">
        <v>29</v>
      </c>
      <c r="U29" s="211" t="s">
        <v>30</v>
      </c>
      <c r="V29" s="211" t="s">
        <v>31</v>
      </c>
      <c r="W29" s="211" t="s">
        <v>32</v>
      </c>
      <c r="X29" s="211" t="s">
        <v>33</v>
      </c>
      <c r="Y29" s="211" t="s">
        <v>34</v>
      </c>
      <c r="Z29" s="211" t="s">
        <v>35</v>
      </c>
      <c r="AA29" s="212"/>
      <c r="AD29" s="195"/>
      <c r="AE29" s="195"/>
      <c r="BF29" s="202"/>
      <c r="BG29" s="213"/>
      <c r="BH29" s="167"/>
      <c r="BI29" s="139"/>
      <c r="BJ29" s="139"/>
      <c r="BK29" s="139"/>
      <c r="BL29" s="139"/>
      <c r="BM29" s="214"/>
      <c r="BN29" s="215"/>
      <c r="BO29" s="215"/>
      <c r="BP29" s="215"/>
      <c r="BQ29" s="215"/>
      <c r="BR29" s="215"/>
      <c r="BS29" s="215"/>
      <c r="BT29" s="215"/>
      <c r="BU29" s="215"/>
      <c r="BV29" s="215"/>
      <c r="BW29" s="215"/>
      <c r="BX29" s="215"/>
      <c r="BY29" s="215"/>
      <c r="BZ29" s="215"/>
      <c r="CA29" s="215"/>
      <c r="CB29" s="215"/>
      <c r="CC29" s="215"/>
      <c r="CD29" s="215"/>
      <c r="CE29" s="215"/>
      <c r="CF29" s="215"/>
      <c r="CG29" s="215"/>
      <c r="CH29" s="215"/>
      <c r="CI29" s="215"/>
      <c r="CJ29" s="215"/>
      <c r="CK29" s="215"/>
      <c r="CL29" s="215"/>
      <c r="CM29" s="215"/>
      <c r="CN29" s="215"/>
      <c r="CO29" s="215"/>
      <c r="CP29" s="215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  <c r="DA29" s="215"/>
      <c r="DB29" s="215"/>
      <c r="DC29" s="215"/>
      <c r="DD29" s="215"/>
      <c r="DE29" s="215"/>
      <c r="DF29" s="215"/>
      <c r="DG29" s="215"/>
      <c r="DH29" s="215"/>
      <c r="DI29" s="215"/>
      <c r="DJ29" s="215"/>
      <c r="DK29" s="215"/>
      <c r="DL29" s="215"/>
      <c r="DM29" s="215"/>
      <c r="DN29" s="215"/>
      <c r="DO29" s="215"/>
      <c r="DP29" s="215"/>
      <c r="DQ29" s="215"/>
      <c r="DR29" s="215"/>
      <c r="DS29" s="215"/>
      <c r="DT29" s="215"/>
      <c r="DU29" s="215"/>
      <c r="DV29" s="215"/>
      <c r="DW29" s="215"/>
      <c r="DX29" s="215"/>
      <c r="DY29" s="215"/>
      <c r="DZ29" s="215"/>
      <c r="EA29" s="215"/>
      <c r="EB29" s="215"/>
      <c r="EC29" s="215"/>
      <c r="ED29" s="215"/>
      <c r="EE29" s="215"/>
      <c r="EF29" s="215"/>
      <c r="EG29" s="215"/>
      <c r="EH29" s="215"/>
      <c r="EI29" s="215"/>
      <c r="EJ29" s="215"/>
      <c r="EK29" s="215"/>
      <c r="EL29" s="215"/>
      <c r="EM29" s="215"/>
      <c r="EN29" s="215"/>
      <c r="EO29" s="215"/>
      <c r="EP29" s="215"/>
      <c r="EQ29" s="215"/>
      <c r="ER29" s="215"/>
      <c r="ES29" s="215"/>
      <c r="ET29" s="215"/>
      <c r="EU29" s="215"/>
      <c r="EV29" s="215"/>
      <c r="EW29" s="215"/>
      <c r="EX29" s="215"/>
      <c r="EY29" s="215"/>
      <c r="EZ29" s="215"/>
      <c r="FA29" s="215"/>
      <c r="FB29" s="215"/>
      <c r="FC29" s="215"/>
      <c r="FD29" s="215"/>
      <c r="FE29" s="215"/>
      <c r="FF29" s="215"/>
      <c r="FG29" s="215"/>
      <c r="FH29" s="215"/>
      <c r="FI29" s="215"/>
      <c r="FJ29" s="215"/>
      <c r="FK29" s="215"/>
      <c r="FL29" s="215"/>
      <c r="FM29" s="215"/>
      <c r="FN29" s="215"/>
      <c r="FO29" s="215"/>
      <c r="FP29" s="215"/>
      <c r="FQ29" s="215"/>
      <c r="FR29" s="215"/>
      <c r="FS29" s="215"/>
      <c r="FT29" s="215"/>
      <c r="FU29" s="215"/>
      <c r="FV29" s="215"/>
      <c r="FW29" s="215"/>
      <c r="FX29" s="215"/>
      <c r="FY29" s="215"/>
      <c r="FZ29" s="215"/>
      <c r="GA29" s="215"/>
      <c r="GB29" s="215"/>
      <c r="GC29" s="215"/>
    </row>
    <row r="30" spans="1:185">
      <c r="A30" s="155" t="s">
        <v>36</v>
      </c>
      <c r="B30" s="216"/>
      <c r="C30" s="157"/>
      <c r="D30" s="132" t="s">
        <v>37</v>
      </c>
      <c r="E30" s="217" t="s">
        <v>27</v>
      </c>
      <c r="F30" s="217" t="s">
        <v>28</v>
      </c>
      <c r="G30" s="217" t="s">
        <v>29</v>
      </c>
      <c r="H30" s="217" t="s">
        <v>30</v>
      </c>
      <c r="I30" s="217" t="s">
        <v>31</v>
      </c>
      <c r="J30" s="217" t="s">
        <v>32</v>
      </c>
      <c r="K30" s="217" t="s">
        <v>33</v>
      </c>
      <c r="L30" s="217" t="s">
        <v>34</v>
      </c>
      <c r="M30" s="217" t="s">
        <v>35</v>
      </c>
      <c r="N30" s="218"/>
      <c r="P30" s="219" t="s">
        <v>38</v>
      </c>
      <c r="Q30" s="212"/>
      <c r="R30" s="197" t="str">
        <f>E27</f>
        <v>% APF</v>
      </c>
      <c r="S30" s="192"/>
      <c r="T30" s="198">
        <f t="shared" ref="T30:AA30" si="20">IF(T1_CODE_ENC="O",0,TAUX_APF)</f>
        <v>0.35</v>
      </c>
      <c r="U30" s="198">
        <f t="shared" si="20"/>
        <v>0.55000000000000004</v>
      </c>
      <c r="V30" s="198">
        <f t="shared" si="20"/>
        <v>0.65</v>
      </c>
      <c r="W30" s="198">
        <f t="shared" si="20"/>
        <v>0.7</v>
      </c>
      <c r="X30" s="198">
        <f t="shared" si="20"/>
        <v>0.85</v>
      </c>
      <c r="Y30" s="198">
        <f t="shared" si="20"/>
        <v>0.9</v>
      </c>
      <c r="Z30" s="198">
        <f t="shared" si="20"/>
        <v>1</v>
      </c>
      <c r="AA30" s="198">
        <f t="shared" si="20"/>
        <v>1</v>
      </c>
      <c r="BF30" s="166"/>
      <c r="BG30" s="166"/>
      <c r="BH30" s="167"/>
      <c r="BM30" s="168"/>
      <c r="BN30" s="169"/>
      <c r="BO30" s="169"/>
      <c r="BP30" s="169"/>
      <c r="BQ30" s="169"/>
      <c r="BR30" s="169"/>
      <c r="BS30" s="169"/>
      <c r="BT30" s="169"/>
      <c r="BU30" s="169"/>
      <c r="BV30" s="169"/>
      <c r="BW30" s="169"/>
      <c r="BX30" s="169"/>
      <c r="BY30" s="169"/>
      <c r="BZ30" s="169"/>
      <c r="CA30" s="169"/>
      <c r="CB30" s="169"/>
      <c r="CC30" s="169"/>
      <c r="CD30" s="169"/>
      <c r="CE30" s="169"/>
      <c r="CF30" s="169"/>
      <c r="CG30" s="169"/>
      <c r="CH30" s="169"/>
      <c r="CI30" s="169"/>
      <c r="CJ30" s="169"/>
      <c r="CK30" s="169"/>
      <c r="CL30" s="169"/>
      <c r="CM30" s="169"/>
      <c r="CN30" s="169"/>
      <c r="CO30" s="169"/>
      <c r="CP30" s="169"/>
      <c r="CQ30" s="169"/>
      <c r="CR30" s="169"/>
      <c r="CS30" s="169"/>
      <c r="CT30" s="169"/>
      <c r="CU30" s="169"/>
      <c r="CV30" s="169"/>
      <c r="CW30" s="169"/>
      <c r="CX30" s="169"/>
      <c r="CY30" s="169"/>
      <c r="CZ30" s="169"/>
      <c r="DA30" s="169"/>
      <c r="DB30" s="169"/>
      <c r="DC30" s="169"/>
      <c r="DD30" s="169"/>
      <c r="DE30" s="169"/>
      <c r="DF30" s="169"/>
      <c r="DG30" s="169"/>
      <c r="DH30" s="169"/>
      <c r="DI30" s="169"/>
      <c r="DJ30" s="169"/>
      <c r="DK30" s="169"/>
      <c r="DL30" s="169"/>
      <c r="DM30" s="169"/>
      <c r="DN30" s="169"/>
      <c r="DO30" s="169"/>
      <c r="DP30" s="169"/>
      <c r="DQ30" s="169"/>
      <c r="DR30" s="169"/>
      <c r="DS30" s="169"/>
      <c r="DT30" s="169"/>
      <c r="DU30" s="169"/>
      <c r="DV30" s="169"/>
      <c r="DW30" s="169"/>
      <c r="DX30" s="169"/>
      <c r="DY30" s="169"/>
      <c r="DZ30" s="169"/>
      <c r="EA30" s="169"/>
      <c r="EB30" s="169"/>
      <c r="EC30" s="169"/>
      <c r="ED30" s="169"/>
      <c r="EE30" s="169"/>
      <c r="EF30" s="169"/>
      <c r="EG30" s="169"/>
      <c r="EH30" s="169"/>
      <c r="EI30" s="169"/>
      <c r="EJ30" s="169"/>
      <c r="EK30" s="169"/>
      <c r="EL30" s="169"/>
      <c r="EM30" s="169"/>
      <c r="EN30" s="169"/>
      <c r="EO30" s="169"/>
      <c r="EP30" s="169"/>
      <c r="EQ30" s="169"/>
      <c r="ER30" s="169"/>
      <c r="ES30" s="169"/>
      <c r="ET30" s="169"/>
      <c r="EU30" s="169"/>
      <c r="EV30" s="169"/>
      <c r="EW30" s="169"/>
      <c r="EX30" s="169"/>
      <c r="EY30" s="169"/>
      <c r="EZ30" s="169"/>
      <c r="FA30" s="169"/>
      <c r="FB30" s="169"/>
      <c r="FC30" s="169"/>
      <c r="FD30" s="169"/>
      <c r="FE30" s="169"/>
      <c r="FF30" s="169"/>
      <c r="FG30" s="169"/>
      <c r="FH30" s="169"/>
      <c r="FI30" s="169"/>
      <c r="FJ30" s="169"/>
      <c r="FK30" s="169"/>
      <c r="FL30" s="169"/>
      <c r="FM30" s="169"/>
      <c r="FN30" s="169"/>
      <c r="FO30" s="169"/>
      <c r="FP30" s="169"/>
      <c r="FQ30" s="169"/>
      <c r="FR30" s="169"/>
      <c r="FS30" s="169"/>
      <c r="FT30" s="169"/>
      <c r="FU30" s="169"/>
      <c r="FV30" s="169"/>
      <c r="FW30" s="169"/>
      <c r="FX30" s="169"/>
      <c r="FY30" s="169"/>
      <c r="FZ30" s="169"/>
      <c r="GA30" s="169"/>
      <c r="GB30" s="169"/>
      <c r="GC30" s="169"/>
    </row>
    <row r="31" spans="1:185">
      <c r="A31" s="155" t="s">
        <v>39</v>
      </c>
      <c r="B31" s="156"/>
      <c r="C31" s="157">
        <v>0.19600000000000001</v>
      </c>
      <c r="D31" s="220">
        <v>0</v>
      </c>
      <c r="E31" s="221"/>
      <c r="F31" s="221"/>
      <c r="G31" s="221"/>
      <c r="H31" s="221"/>
      <c r="I31" s="221"/>
      <c r="J31" s="221"/>
      <c r="K31" s="221"/>
      <c r="L31" s="221"/>
      <c r="M31" s="222"/>
      <c r="N31" s="132"/>
      <c r="P31" s="223"/>
      <c r="Q31" s="183" t="e">
        <f>DATE(YEAR(DATE_DEBUT)-1,MONTH(DATE_DEBUT),DAY(DATE_DEBUT))</f>
        <v>#VALUE!</v>
      </c>
      <c r="R31" s="183">
        <f t="shared" ref="R31:Z31" si="21">E31</f>
        <v>0</v>
      </c>
      <c r="S31" s="183">
        <f t="shared" si="21"/>
        <v>0</v>
      </c>
      <c r="T31" s="183">
        <f t="shared" si="21"/>
        <v>0</v>
      </c>
      <c r="U31" s="183">
        <f t="shared" si="21"/>
        <v>0</v>
      </c>
      <c r="V31" s="183">
        <f t="shared" si="21"/>
        <v>0</v>
      </c>
      <c r="W31" s="183">
        <f t="shared" si="21"/>
        <v>0</v>
      </c>
      <c r="X31" s="183">
        <f t="shared" si="21"/>
        <v>0</v>
      </c>
      <c r="Y31" s="183">
        <f t="shared" si="21"/>
        <v>0</v>
      </c>
      <c r="Z31" s="183">
        <f t="shared" si="21"/>
        <v>0</v>
      </c>
      <c r="AA31" s="224">
        <f>DATE(YEAR(Z31),MONTH(Z31)+6,1)</f>
        <v>183</v>
      </c>
      <c r="AC31" s="210" t="s">
        <v>40</v>
      </c>
      <c r="AD31" s="225"/>
      <c r="AE31" s="226">
        <f>T1_LI-T1_DT+1</f>
        <v>1</v>
      </c>
      <c r="BF31" s="166">
        <f>D31</f>
        <v>0</v>
      </c>
      <c r="BG31" s="166">
        <f>ROUND(BF31*(1+C31),0)</f>
        <v>0</v>
      </c>
      <c r="BH31" s="167">
        <f>BG31-BF31</f>
        <v>0</v>
      </c>
      <c r="BM31" s="168" t="e">
        <f>HLOOKUP(BM$3-DEC_FRN,T1_CONST_TABLE,2)+HLOOKUP(BM$3-DEC_FRN,T1_CONST_TABLE,3)*((BM$3-DEC_FRN-HLOOKUP(BM$3-DEC_FRN,T1_CONST_TABLE,1))+IF(BM$3-DEC_FRN&gt;=T1_LI,1,0))</f>
        <v>#VALUE!</v>
      </c>
      <c r="BN31" s="169" t="e">
        <f>HLOOKUP(BN$3-DEC_FRN,T1_CONST_TABLE,2)+HLOOKUP(BN$3-DEC_FRN,T1_CONST_TABLE,3)*((BN$3-DEC_FRN-HLOOKUP(BN$3-DEC_FRN,T1_CONST_TABLE,1))+IF(BN$3-DEC_FRN&gt;=T1_LI,1,0))</f>
        <v>#VALUE!</v>
      </c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69"/>
      <c r="CS31" s="169"/>
      <c r="CT31" s="169"/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69"/>
      <c r="DJ31" s="169"/>
      <c r="DK31" s="169"/>
      <c r="DL31" s="169"/>
      <c r="DM31" s="169"/>
      <c r="DN31" s="169"/>
      <c r="DO31" s="169"/>
      <c r="DP31" s="169"/>
      <c r="DQ31" s="169"/>
      <c r="DR31" s="169"/>
      <c r="DS31" s="169"/>
      <c r="DT31" s="169"/>
      <c r="DU31" s="169"/>
      <c r="DV31" s="169"/>
      <c r="DW31" s="169"/>
      <c r="DX31" s="169"/>
      <c r="DY31" s="169"/>
      <c r="DZ31" s="169"/>
      <c r="EA31" s="169"/>
      <c r="EB31" s="169"/>
      <c r="EC31" s="169"/>
      <c r="ED31" s="169"/>
      <c r="EE31" s="169"/>
      <c r="EF31" s="169"/>
      <c r="EG31" s="169"/>
      <c r="EH31" s="169"/>
      <c r="EI31" s="169"/>
      <c r="EJ31" s="169"/>
      <c r="EK31" s="169"/>
      <c r="EL31" s="169"/>
      <c r="EM31" s="169"/>
      <c r="EN31" s="169"/>
      <c r="EO31" s="169"/>
      <c r="EP31" s="169"/>
      <c r="EQ31" s="169"/>
      <c r="ER31" s="169"/>
      <c r="ES31" s="169"/>
      <c r="ET31" s="169"/>
      <c r="EU31" s="169"/>
      <c r="EV31" s="169"/>
      <c r="EW31" s="169"/>
      <c r="EX31" s="169"/>
      <c r="EY31" s="169"/>
      <c r="EZ31" s="169"/>
      <c r="FA31" s="169"/>
      <c r="FB31" s="169"/>
      <c r="FC31" s="169"/>
      <c r="FD31" s="169"/>
      <c r="FE31" s="169"/>
      <c r="FF31" s="169"/>
      <c r="FG31" s="169"/>
      <c r="FH31" s="169"/>
      <c r="FI31" s="169"/>
      <c r="FJ31" s="169"/>
      <c r="FK31" s="169"/>
      <c r="FL31" s="169"/>
      <c r="FM31" s="169"/>
      <c r="FN31" s="169"/>
      <c r="FO31" s="169"/>
      <c r="FP31" s="169"/>
      <c r="FQ31" s="169"/>
      <c r="FR31" s="169"/>
      <c r="FS31" s="169"/>
      <c r="FT31" s="169"/>
      <c r="FU31" s="169"/>
      <c r="FV31" s="169"/>
      <c r="FW31" s="169"/>
      <c r="FX31" s="169"/>
      <c r="FY31" s="169"/>
      <c r="FZ31" s="169"/>
      <c r="GA31" s="169"/>
      <c r="GB31" s="169"/>
      <c r="GC31" s="169"/>
    </row>
    <row r="32" spans="1:185">
      <c r="A32" s="155"/>
      <c r="B32" s="156"/>
      <c r="C32" s="157"/>
      <c r="D32" s="152"/>
      <c r="E32" s="208"/>
      <c r="F32" s="208"/>
      <c r="G32" s="208"/>
      <c r="H32" s="208"/>
      <c r="I32" s="208"/>
      <c r="J32" s="208"/>
      <c r="K32" s="208"/>
      <c r="L32" s="208"/>
      <c r="M32" s="227"/>
      <c r="N32" s="218"/>
      <c r="O32" s="131" t="s">
        <v>41</v>
      </c>
      <c r="P32" s="223"/>
      <c r="Q32" s="228" t="e">
        <f t="shared" ref="Q32:AA32" si="22">YEAR(Q31)*12+MONTH(Q31)</f>
        <v>#VALUE!</v>
      </c>
      <c r="R32" s="228">
        <f t="shared" si="22"/>
        <v>22801</v>
      </c>
      <c r="S32" s="228">
        <f t="shared" si="22"/>
        <v>22801</v>
      </c>
      <c r="T32" s="228">
        <f t="shared" si="22"/>
        <v>22801</v>
      </c>
      <c r="U32" s="228">
        <f t="shared" si="22"/>
        <v>22801</v>
      </c>
      <c r="V32" s="228">
        <f t="shared" si="22"/>
        <v>22801</v>
      </c>
      <c r="W32" s="228">
        <f t="shared" si="22"/>
        <v>22801</v>
      </c>
      <c r="X32" s="228">
        <f t="shared" si="22"/>
        <v>22801</v>
      </c>
      <c r="Y32" s="228">
        <f t="shared" si="22"/>
        <v>22801</v>
      </c>
      <c r="Z32" s="228">
        <f t="shared" si="22"/>
        <v>22801</v>
      </c>
      <c r="AA32" s="229">
        <f t="shared" si="22"/>
        <v>22807</v>
      </c>
      <c r="AD32" s="230"/>
      <c r="AE32" s="230"/>
      <c r="BF32" s="166"/>
      <c r="BG32" s="166"/>
      <c r="BH32" s="167"/>
      <c r="BM32" s="168"/>
      <c r="BN32" s="169"/>
      <c r="BO32" s="169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69"/>
      <c r="CK32" s="169"/>
      <c r="CL32" s="169"/>
      <c r="CM32" s="169"/>
      <c r="CN32" s="169"/>
      <c r="CO32" s="169"/>
      <c r="CP32" s="169"/>
      <c r="CQ32" s="169"/>
      <c r="CR32" s="169"/>
      <c r="CS32" s="169"/>
      <c r="CT32" s="169"/>
      <c r="CU32" s="169"/>
      <c r="CV32" s="169"/>
      <c r="CW32" s="169"/>
      <c r="CX32" s="169"/>
      <c r="CY32" s="169"/>
      <c r="CZ32" s="169"/>
      <c r="DA32" s="169"/>
      <c r="DB32" s="169"/>
      <c r="DC32" s="169"/>
      <c r="DD32" s="169"/>
      <c r="DE32" s="169"/>
      <c r="DF32" s="169"/>
      <c r="DG32" s="169"/>
      <c r="DH32" s="169"/>
      <c r="DI32" s="169"/>
      <c r="DJ32" s="169"/>
      <c r="DK32" s="169"/>
      <c r="DL32" s="169"/>
      <c r="DM32" s="169"/>
      <c r="DN32" s="169"/>
      <c r="DO32" s="169"/>
      <c r="DP32" s="169"/>
      <c r="DQ32" s="169"/>
      <c r="DR32" s="169"/>
      <c r="DS32" s="169"/>
      <c r="DT32" s="169"/>
      <c r="DU32" s="169"/>
      <c r="DV32" s="169"/>
      <c r="DW32" s="169"/>
      <c r="DX32" s="169"/>
      <c r="DY32" s="169"/>
      <c r="DZ32" s="169"/>
      <c r="EA32" s="169"/>
      <c r="EB32" s="169"/>
      <c r="EC32" s="169"/>
      <c r="ED32" s="169"/>
      <c r="EE32" s="169"/>
      <c r="EF32" s="169"/>
      <c r="EG32" s="169"/>
      <c r="EH32" s="169"/>
      <c r="EI32" s="169"/>
      <c r="EJ32" s="169"/>
      <c r="EK32" s="169"/>
      <c r="EL32" s="169"/>
      <c r="EM32" s="169"/>
      <c r="EN32" s="169"/>
      <c r="EO32" s="169"/>
      <c r="EP32" s="169"/>
      <c r="EQ32" s="169"/>
      <c r="ER32" s="169"/>
      <c r="ES32" s="169"/>
      <c r="ET32" s="169"/>
      <c r="EU32" s="169"/>
      <c r="EV32" s="169"/>
      <c r="EW32" s="169"/>
      <c r="EX32" s="169"/>
      <c r="EY32" s="169"/>
      <c r="EZ32" s="169"/>
      <c r="FA32" s="169"/>
      <c r="FB32" s="169"/>
      <c r="FC32" s="169"/>
      <c r="FD32" s="169"/>
      <c r="FE32" s="169"/>
      <c r="FF32" s="169"/>
      <c r="FG32" s="169"/>
      <c r="FH32" s="169"/>
      <c r="FI32" s="169"/>
      <c r="FJ32" s="169"/>
      <c r="FK32" s="169"/>
      <c r="FL32" s="169"/>
      <c r="FM32" s="169"/>
      <c r="FN32" s="169"/>
      <c r="FO32" s="169"/>
      <c r="FP32" s="169"/>
      <c r="FQ32" s="169"/>
      <c r="FR32" s="169"/>
      <c r="FS32" s="169"/>
      <c r="FT32" s="169"/>
      <c r="FU32" s="169"/>
      <c r="FV32" s="169"/>
      <c r="FW32" s="169"/>
      <c r="FX32" s="169"/>
      <c r="FY32" s="169"/>
      <c r="FZ32" s="169"/>
      <c r="GA32" s="169"/>
      <c r="GB32" s="169"/>
      <c r="GC32" s="169"/>
    </row>
    <row r="33" spans="1:185">
      <c r="A33" s="155"/>
      <c r="B33" s="156"/>
      <c r="C33" s="231" t="s">
        <v>42</v>
      </c>
      <c r="E33" s="209" t="s">
        <v>43</v>
      </c>
      <c r="G33" s="209" t="s">
        <v>44</v>
      </c>
      <c r="I33" s="209" t="s">
        <v>45</v>
      </c>
      <c r="K33" s="217" t="s">
        <v>46</v>
      </c>
      <c r="M33" s="227"/>
      <c r="N33" s="218"/>
      <c r="P33" s="223" t="s">
        <v>47</v>
      </c>
      <c r="Q33" s="228"/>
      <c r="R33" s="228"/>
      <c r="S33" s="228"/>
      <c r="T33" s="228">
        <f t="shared" ref="T33:Z33" si="23">TAUX_TRVX*T1_CONST_TTC</f>
        <v>0</v>
      </c>
      <c r="U33" s="228">
        <f t="shared" si="23"/>
        <v>0</v>
      </c>
      <c r="V33" s="228">
        <f t="shared" si="23"/>
        <v>0</v>
      </c>
      <c r="W33" s="228">
        <f t="shared" si="23"/>
        <v>0</v>
      </c>
      <c r="X33" s="228">
        <f t="shared" si="23"/>
        <v>0</v>
      </c>
      <c r="Y33" s="228">
        <f t="shared" si="23"/>
        <v>0</v>
      </c>
      <c r="Z33" s="228">
        <f t="shared" si="23"/>
        <v>0</v>
      </c>
      <c r="AA33" s="229">
        <f>AA$28*T1_CONST_TTC</f>
        <v>0</v>
      </c>
      <c r="AD33" s="228"/>
      <c r="AE33" s="228"/>
      <c r="BF33" s="166"/>
      <c r="BG33" s="166"/>
      <c r="BH33" s="167"/>
      <c r="BM33" s="168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169"/>
      <c r="ES33" s="169"/>
      <c r="ET33" s="169"/>
      <c r="EU33" s="169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169"/>
      <c r="FG33" s="169"/>
      <c r="FH33" s="169"/>
      <c r="FI33" s="169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169"/>
      <c r="FU33" s="169"/>
      <c r="FV33" s="169"/>
      <c r="FW33" s="169"/>
      <c r="FX33" s="169"/>
      <c r="FY33" s="169"/>
      <c r="FZ33" s="169"/>
      <c r="GA33" s="169"/>
      <c r="GB33" s="169"/>
      <c r="GC33" s="169"/>
    </row>
    <row r="34" spans="1:185">
      <c r="A34" s="155"/>
      <c r="B34" s="157">
        <v>0.19600000000000001</v>
      </c>
      <c r="C34" s="232"/>
      <c r="E34" s="209"/>
      <c r="G34" s="233"/>
      <c r="I34" s="233"/>
      <c r="J34" s="208"/>
      <c r="K34" s="234"/>
      <c r="L34" s="208"/>
      <c r="M34" s="227"/>
      <c r="N34" s="218"/>
      <c r="P34" s="235" t="s">
        <v>48</v>
      </c>
      <c r="S34" s="228"/>
      <c r="T34" s="228" t="e">
        <f>(U33-T33)/(U32-T32)</f>
        <v>#DIV/0!</v>
      </c>
      <c r="U34" s="228" t="e">
        <f>(V33-U33)/(V32-U32)</f>
        <v>#DIV/0!</v>
      </c>
      <c r="V34" s="228" t="e">
        <f>(W33-V33)/(W32-V32)</f>
        <v>#DIV/0!</v>
      </c>
      <c r="W34" s="228" t="e">
        <f>(X33-W33)/(X32-W32)</f>
        <v>#DIV/0!</v>
      </c>
      <c r="X34" s="228" t="e">
        <f>(Y33-X33)/(Y32-X32)</f>
        <v>#DIV/0!</v>
      </c>
      <c r="Y34" s="228" t="e">
        <f>(Z33-Y33)/(T1_LI-Y32)</f>
        <v>#DIV/0!</v>
      </c>
      <c r="Z34" s="228">
        <f>(AA33-Z33)/(AA32-T1_LI)</f>
        <v>0</v>
      </c>
      <c r="AA34" s="229"/>
      <c r="AC34" s="228"/>
      <c r="AD34" s="228"/>
      <c r="AE34" s="228"/>
      <c r="BF34" s="166"/>
      <c r="BG34" s="166"/>
      <c r="BH34" s="167"/>
      <c r="BM34" s="168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69"/>
      <c r="CT34" s="169"/>
      <c r="CU34" s="169"/>
      <c r="CV34" s="169"/>
      <c r="CW34" s="169"/>
      <c r="CX34" s="169"/>
      <c r="CY34" s="169"/>
      <c r="CZ34" s="169"/>
      <c r="DA34" s="169"/>
      <c r="DB34" s="169"/>
      <c r="DC34" s="169"/>
      <c r="DD34" s="169"/>
      <c r="DE34" s="169"/>
      <c r="DF34" s="169"/>
      <c r="DG34" s="169"/>
      <c r="DH34" s="169"/>
      <c r="DI34" s="169"/>
      <c r="DJ34" s="169"/>
      <c r="DK34" s="169"/>
      <c r="DL34" s="169"/>
      <c r="DM34" s="169"/>
      <c r="DN34" s="169"/>
      <c r="DO34" s="169"/>
      <c r="DP34" s="169"/>
      <c r="DQ34" s="169"/>
      <c r="DR34" s="169"/>
      <c r="DS34" s="169"/>
      <c r="DT34" s="169"/>
      <c r="DU34" s="169"/>
      <c r="DV34" s="169"/>
      <c r="DW34" s="169"/>
      <c r="DX34" s="169"/>
      <c r="DY34" s="169"/>
      <c r="DZ34" s="169"/>
      <c r="EA34" s="169"/>
      <c r="EB34" s="169"/>
      <c r="EC34" s="169"/>
      <c r="ED34" s="169"/>
      <c r="EE34" s="169"/>
      <c r="EF34" s="169"/>
      <c r="EG34" s="169"/>
      <c r="EH34" s="169"/>
      <c r="EI34" s="169"/>
      <c r="EJ34" s="169"/>
      <c r="EK34" s="169"/>
      <c r="EL34" s="169"/>
      <c r="EM34" s="169"/>
      <c r="EN34" s="169"/>
      <c r="EO34" s="169"/>
      <c r="EP34" s="169"/>
      <c r="EQ34" s="169"/>
      <c r="ER34" s="169"/>
      <c r="ES34" s="169"/>
      <c r="ET34" s="169"/>
      <c r="EU34" s="169"/>
      <c r="EV34" s="169"/>
      <c r="EW34" s="169"/>
      <c r="EX34" s="169"/>
      <c r="EY34" s="169"/>
      <c r="EZ34" s="169"/>
      <c r="FA34" s="169"/>
      <c r="FB34" s="169"/>
      <c r="FC34" s="169"/>
      <c r="FD34" s="169"/>
      <c r="FE34" s="169"/>
      <c r="FF34" s="169"/>
      <c r="FG34" s="169"/>
      <c r="FH34" s="169"/>
      <c r="FI34" s="169"/>
      <c r="FJ34" s="169"/>
      <c r="FK34" s="169"/>
      <c r="FL34" s="169"/>
      <c r="FM34" s="169"/>
      <c r="FN34" s="169"/>
      <c r="FO34" s="169"/>
      <c r="FP34" s="169"/>
      <c r="FQ34" s="169"/>
      <c r="FR34" s="169"/>
      <c r="FS34" s="169"/>
      <c r="FT34" s="169"/>
      <c r="FU34" s="169"/>
      <c r="FV34" s="169"/>
      <c r="FW34" s="169"/>
      <c r="FX34" s="169"/>
      <c r="FY34" s="169"/>
      <c r="FZ34" s="169"/>
      <c r="GA34" s="169"/>
      <c r="GB34" s="169"/>
      <c r="GC34" s="169"/>
    </row>
    <row r="35" spans="1:185">
      <c r="A35" s="155"/>
      <c r="B35" s="156"/>
      <c r="C35" s="157"/>
      <c r="D35" s="152"/>
      <c r="H35" s="208"/>
      <c r="I35" s="208"/>
      <c r="J35" s="208"/>
      <c r="K35" s="208"/>
      <c r="L35" s="208"/>
      <c r="M35" s="227"/>
      <c r="N35" s="218"/>
      <c r="P35" s="236" t="s">
        <v>49</v>
      </c>
      <c r="Q35" s="237"/>
      <c r="R35" s="237"/>
      <c r="S35" s="238"/>
      <c r="T35" s="238">
        <f t="shared" ref="T35:AA35" si="24">T1_CAF_LOTS*T1_TAUX_APF</f>
        <v>0</v>
      </c>
      <c r="U35" s="238">
        <f t="shared" si="24"/>
        <v>0</v>
      </c>
      <c r="V35" s="238">
        <f t="shared" si="24"/>
        <v>0</v>
      </c>
      <c r="W35" s="238">
        <f t="shared" si="24"/>
        <v>0</v>
      </c>
      <c r="X35" s="238">
        <f t="shared" si="24"/>
        <v>0</v>
      </c>
      <c r="Y35" s="238">
        <f t="shared" si="24"/>
        <v>0</v>
      </c>
      <c r="Z35" s="238">
        <f t="shared" si="24"/>
        <v>0</v>
      </c>
      <c r="AA35" s="239">
        <f t="shared" si="24"/>
        <v>0</v>
      </c>
      <c r="AC35" s="228"/>
      <c r="AD35" s="228"/>
      <c r="AE35" s="228"/>
      <c r="BF35" s="166"/>
      <c r="BG35" s="166"/>
      <c r="BH35" s="167"/>
      <c r="BM35" s="168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69"/>
      <c r="CT35" s="169"/>
      <c r="CU35" s="169"/>
      <c r="CV35" s="169"/>
      <c r="CW35" s="169"/>
      <c r="CX35" s="169"/>
      <c r="CY35" s="169"/>
      <c r="CZ35" s="169"/>
      <c r="DA35" s="169"/>
      <c r="DB35" s="169"/>
      <c r="DC35" s="169"/>
      <c r="DD35" s="169"/>
      <c r="DE35" s="169"/>
      <c r="DF35" s="169"/>
      <c r="DG35" s="169"/>
      <c r="DH35" s="169"/>
      <c r="DI35" s="169"/>
      <c r="DJ35" s="169"/>
      <c r="DK35" s="169"/>
      <c r="DL35" s="169"/>
      <c r="DM35" s="169"/>
      <c r="DN35" s="169"/>
      <c r="DO35" s="169"/>
      <c r="DP35" s="169"/>
      <c r="DQ35" s="169"/>
      <c r="DR35" s="169"/>
      <c r="DS35" s="169"/>
      <c r="DT35" s="169"/>
      <c r="DU35" s="169"/>
      <c r="DV35" s="169"/>
      <c r="DW35" s="169"/>
      <c r="DX35" s="169"/>
      <c r="DY35" s="169"/>
      <c r="DZ35" s="169"/>
      <c r="EA35" s="169"/>
      <c r="EB35" s="169"/>
      <c r="EC35" s="169"/>
      <c r="ED35" s="169"/>
      <c r="EE35" s="169"/>
      <c r="EF35" s="169"/>
      <c r="EG35" s="169"/>
      <c r="EH35" s="169"/>
      <c r="EI35" s="169"/>
      <c r="EJ35" s="169"/>
      <c r="EK35" s="169"/>
      <c r="EL35" s="169"/>
      <c r="EM35" s="169"/>
      <c r="EN35" s="169"/>
      <c r="EO35" s="169"/>
      <c r="EP35" s="169"/>
      <c r="EQ35" s="169"/>
      <c r="ER35" s="169"/>
      <c r="ES35" s="169"/>
      <c r="ET35" s="169"/>
      <c r="EU35" s="169"/>
      <c r="EV35" s="169"/>
      <c r="EW35" s="169"/>
      <c r="EX35" s="169"/>
      <c r="EY35" s="169"/>
      <c r="EZ35" s="169"/>
      <c r="FA35" s="169"/>
      <c r="FB35" s="169"/>
      <c r="FC35" s="169"/>
      <c r="FD35" s="169"/>
      <c r="FE35" s="169"/>
      <c r="FF35" s="169"/>
      <c r="FG35" s="169"/>
      <c r="FH35" s="169"/>
      <c r="FI35" s="169"/>
      <c r="FJ35" s="169"/>
      <c r="FK35" s="169"/>
      <c r="FL35" s="169"/>
      <c r="FM35" s="169"/>
      <c r="FN35" s="169"/>
      <c r="FO35" s="169"/>
      <c r="FP35" s="169"/>
      <c r="FQ35" s="169"/>
      <c r="FR35" s="169"/>
      <c r="FS35" s="169"/>
      <c r="FT35" s="169"/>
      <c r="FU35" s="169"/>
      <c r="FV35" s="169"/>
      <c r="FW35" s="169"/>
      <c r="FX35" s="169"/>
      <c r="FY35" s="169"/>
      <c r="FZ35" s="169"/>
      <c r="GA35" s="169"/>
      <c r="GB35" s="169"/>
      <c r="GC35" s="169"/>
    </row>
    <row r="36" spans="1:185">
      <c r="A36" s="155"/>
      <c r="B36" s="156"/>
      <c r="C36" s="157"/>
      <c r="D36" s="240"/>
      <c r="E36" s="241"/>
      <c r="F36" s="241"/>
      <c r="G36" s="241"/>
      <c r="H36" s="241"/>
      <c r="I36" s="241"/>
      <c r="J36" s="241"/>
      <c r="K36" s="241"/>
      <c r="L36" s="241"/>
      <c r="M36" s="242"/>
      <c r="N36" s="218"/>
      <c r="P36" s="219" t="s">
        <v>38</v>
      </c>
      <c r="Q36" s="212"/>
      <c r="R36" s="197" t="str">
        <f>E27</f>
        <v>% APF</v>
      </c>
      <c r="S36" s="192"/>
      <c r="T36" s="198">
        <f t="shared" ref="T36:AA36" si="25">IF(T2_CODE_ENC="O",0,TAUX_APF)</f>
        <v>0.35</v>
      </c>
      <c r="U36" s="198">
        <f t="shared" si="25"/>
        <v>0.55000000000000004</v>
      </c>
      <c r="V36" s="198">
        <f t="shared" si="25"/>
        <v>0.65</v>
      </c>
      <c r="W36" s="198">
        <f t="shared" si="25"/>
        <v>0.7</v>
      </c>
      <c r="X36" s="198">
        <f t="shared" si="25"/>
        <v>0.85</v>
      </c>
      <c r="Y36" s="198">
        <f t="shared" si="25"/>
        <v>0.9</v>
      </c>
      <c r="Z36" s="198">
        <f t="shared" si="25"/>
        <v>1</v>
      </c>
      <c r="AA36" s="198">
        <f t="shared" si="25"/>
        <v>1</v>
      </c>
      <c r="AC36" s="228"/>
      <c r="AD36" s="228"/>
      <c r="AE36" s="228"/>
      <c r="BF36" s="166"/>
      <c r="BG36" s="166"/>
      <c r="BH36" s="167"/>
      <c r="BM36" s="168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69"/>
      <c r="CT36" s="169"/>
      <c r="CU36" s="169"/>
      <c r="CV36" s="169"/>
      <c r="CW36" s="169"/>
      <c r="CX36" s="169"/>
      <c r="CY36" s="169"/>
      <c r="CZ36" s="169"/>
      <c r="DA36" s="169"/>
      <c r="DB36" s="169"/>
      <c r="DC36" s="169"/>
      <c r="DD36" s="169"/>
      <c r="DE36" s="169"/>
      <c r="DF36" s="169"/>
      <c r="DG36" s="169"/>
      <c r="DH36" s="169"/>
      <c r="DI36" s="169"/>
      <c r="DJ36" s="169"/>
      <c r="DK36" s="169"/>
      <c r="DL36" s="169"/>
      <c r="DM36" s="169"/>
      <c r="DN36" s="169"/>
      <c r="DO36" s="169"/>
      <c r="DP36" s="169"/>
      <c r="DQ36" s="169"/>
      <c r="DR36" s="169"/>
      <c r="DS36" s="169"/>
      <c r="DT36" s="169"/>
      <c r="DU36" s="169"/>
      <c r="DV36" s="169"/>
      <c r="DW36" s="169"/>
      <c r="DX36" s="169"/>
      <c r="DY36" s="169"/>
      <c r="DZ36" s="169"/>
      <c r="EA36" s="169"/>
      <c r="EB36" s="169"/>
      <c r="EC36" s="169"/>
      <c r="ED36" s="169"/>
      <c r="EE36" s="169"/>
      <c r="EF36" s="169"/>
      <c r="EG36" s="169"/>
      <c r="EH36" s="169"/>
      <c r="EI36" s="169"/>
      <c r="EJ36" s="169"/>
      <c r="EK36" s="169"/>
      <c r="EL36" s="169"/>
      <c r="EM36" s="169"/>
      <c r="EN36" s="169"/>
      <c r="EO36" s="169"/>
      <c r="EP36" s="169"/>
      <c r="EQ36" s="169"/>
      <c r="ER36" s="169"/>
      <c r="ES36" s="169"/>
      <c r="ET36" s="169"/>
      <c r="EU36" s="169"/>
      <c r="EV36" s="169"/>
      <c r="EW36" s="169"/>
      <c r="EX36" s="169"/>
      <c r="EY36" s="169"/>
      <c r="EZ36" s="169"/>
      <c r="FA36" s="169"/>
      <c r="FB36" s="169"/>
      <c r="FC36" s="169"/>
      <c r="FD36" s="169"/>
      <c r="FE36" s="169"/>
      <c r="FF36" s="169"/>
      <c r="FG36" s="169"/>
      <c r="FH36" s="169"/>
      <c r="FI36" s="169"/>
      <c r="FJ36" s="169"/>
      <c r="FK36" s="169"/>
      <c r="FL36" s="169"/>
      <c r="FM36" s="169"/>
      <c r="FN36" s="169"/>
      <c r="FO36" s="169"/>
      <c r="FP36" s="169"/>
      <c r="FQ36" s="169"/>
      <c r="FR36" s="169"/>
      <c r="FS36" s="169"/>
      <c r="FT36" s="169"/>
      <c r="FU36" s="169"/>
      <c r="FV36" s="169"/>
      <c r="FW36" s="169"/>
      <c r="FX36" s="169"/>
      <c r="FY36" s="169"/>
      <c r="FZ36" s="169"/>
      <c r="GA36" s="169"/>
      <c r="GB36" s="169"/>
      <c r="GC36" s="169"/>
    </row>
    <row r="37" spans="1:185">
      <c r="A37" s="155" t="s">
        <v>50</v>
      </c>
      <c r="B37" s="156"/>
      <c r="C37" s="157">
        <v>0.19600000000000001</v>
      </c>
      <c r="D37" s="220">
        <v>0</v>
      </c>
      <c r="E37" s="221"/>
      <c r="F37" s="221"/>
      <c r="G37" s="221"/>
      <c r="H37" s="221"/>
      <c r="I37" s="221"/>
      <c r="J37" s="221"/>
      <c r="K37" s="221"/>
      <c r="L37" s="221"/>
      <c r="M37" s="222"/>
      <c r="N37" s="243"/>
      <c r="P37" s="223"/>
      <c r="Q37" s="183" t="e">
        <f>DATE(YEAR(DATE_DEBUT)-1,MONTH(DATE_DEBUT),DAY(DATE_DEBUT))</f>
        <v>#VALUE!</v>
      </c>
      <c r="R37" s="183">
        <f t="shared" ref="R37:Z37" si="26">E37</f>
        <v>0</v>
      </c>
      <c r="S37" s="183">
        <f t="shared" si="26"/>
        <v>0</v>
      </c>
      <c r="T37" s="183">
        <f t="shared" si="26"/>
        <v>0</v>
      </c>
      <c r="U37" s="183">
        <f t="shared" si="26"/>
        <v>0</v>
      </c>
      <c r="V37" s="183">
        <f t="shared" si="26"/>
        <v>0</v>
      </c>
      <c r="W37" s="183">
        <f t="shared" si="26"/>
        <v>0</v>
      </c>
      <c r="X37" s="183">
        <f t="shared" si="26"/>
        <v>0</v>
      </c>
      <c r="Y37" s="183">
        <f t="shared" si="26"/>
        <v>0</v>
      </c>
      <c r="Z37" s="183">
        <f t="shared" si="26"/>
        <v>0</v>
      </c>
      <c r="AA37" s="224">
        <f>DATE(YEAR(Z37),MONTH(Z37)+6,1)</f>
        <v>183</v>
      </c>
      <c r="AC37" s="209" t="s">
        <v>40</v>
      </c>
      <c r="AD37" s="225"/>
      <c r="AE37" s="226">
        <f>T2_LI-T2_DT+1</f>
        <v>1</v>
      </c>
      <c r="BF37" s="166">
        <f>D37</f>
        <v>0</v>
      </c>
      <c r="BG37" s="166">
        <f>ROUND(BF37*(1+C37),0)</f>
        <v>0</v>
      </c>
      <c r="BH37" s="167">
        <f>BG37-BF37</f>
        <v>0</v>
      </c>
      <c r="BM37" s="168" t="e">
        <f>HLOOKUP(BM$3-DEC_FRN,T2_CONST_TABLE,2)+HLOOKUP(BM$3-DEC_FRN,T2_CONST_TABLE,3)*((BM$3-DEC_FRN-HLOOKUP(BM$3-DEC_FRN,T2_CONST_TABLE,1))+IF(BM$3-DEC_FRN&gt;=T2_LI,1,0))</f>
        <v>#VALUE!</v>
      </c>
      <c r="BN37" s="169" t="e">
        <f>HLOOKUP(BN$3-DEC_FRN,T2_CONST_TABLE,2)+HLOOKUP(BN$3-DEC_FRN,T2_CONST_TABLE,3)*((BN$3-DEC_FRN-HLOOKUP(BN$3-DEC_FRN,T2_CONST_TABLE,1))+IF(BN$3-DEC_FRN&gt;=T2_LI,1,0))</f>
        <v>#VALUE!</v>
      </c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169"/>
      <c r="EV37" s="169"/>
      <c r="EW37" s="169"/>
      <c r="EX37" s="169"/>
      <c r="EY37" s="169"/>
      <c r="EZ37" s="169"/>
      <c r="FA37" s="169"/>
      <c r="FB37" s="169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  <c r="FW37" s="169"/>
      <c r="FX37" s="169"/>
      <c r="FY37" s="169"/>
      <c r="FZ37" s="169"/>
      <c r="GA37" s="169"/>
      <c r="GB37" s="169"/>
      <c r="GC37" s="169"/>
    </row>
    <row r="38" spans="1:185">
      <c r="A38" s="155"/>
      <c r="B38" s="156"/>
      <c r="C38" s="157"/>
      <c r="D38" s="152"/>
      <c r="E38" s="208"/>
      <c r="F38" s="208"/>
      <c r="G38" s="208"/>
      <c r="H38" s="208"/>
      <c r="I38" s="208"/>
      <c r="J38" s="208"/>
      <c r="K38" s="208"/>
      <c r="L38" s="208"/>
      <c r="M38" s="227"/>
      <c r="N38" s="218"/>
      <c r="P38" s="223"/>
      <c r="Q38" s="228" t="e">
        <f t="shared" ref="Q38:AA38" si="27">YEAR(Q37)*12+MONTH(Q37)</f>
        <v>#VALUE!</v>
      </c>
      <c r="R38" s="228">
        <f t="shared" si="27"/>
        <v>22801</v>
      </c>
      <c r="S38" s="228">
        <f t="shared" si="27"/>
        <v>22801</v>
      </c>
      <c r="T38" s="228">
        <f t="shared" si="27"/>
        <v>22801</v>
      </c>
      <c r="U38" s="228">
        <f t="shared" si="27"/>
        <v>22801</v>
      </c>
      <c r="V38" s="228">
        <f t="shared" si="27"/>
        <v>22801</v>
      </c>
      <c r="W38" s="228">
        <f t="shared" si="27"/>
        <v>22801</v>
      </c>
      <c r="X38" s="228">
        <f t="shared" si="27"/>
        <v>22801</v>
      </c>
      <c r="Y38" s="228">
        <f t="shared" si="27"/>
        <v>22801</v>
      </c>
      <c r="Z38" s="228">
        <f t="shared" si="27"/>
        <v>22801</v>
      </c>
      <c r="AA38" s="229">
        <f t="shared" si="27"/>
        <v>22807</v>
      </c>
      <c r="AC38" s="183"/>
      <c r="BF38" s="166"/>
      <c r="BG38" s="166"/>
      <c r="BH38" s="167"/>
      <c r="BM38" s="168"/>
      <c r="BN38" s="169"/>
      <c r="BO38" s="169"/>
      <c r="BP38" s="169"/>
      <c r="BQ38" s="169"/>
      <c r="BR38" s="169"/>
      <c r="BS38" s="169"/>
      <c r="BT38" s="169"/>
      <c r="BU38" s="169"/>
      <c r="BV38" s="169"/>
      <c r="BW38" s="169"/>
      <c r="BX38" s="169"/>
      <c r="BY38" s="169"/>
      <c r="BZ38" s="169"/>
      <c r="CA38" s="169"/>
      <c r="CB38" s="169"/>
      <c r="CC38" s="169"/>
      <c r="CD38" s="169"/>
      <c r="CE38" s="169"/>
      <c r="CF38" s="169"/>
      <c r="CG38" s="169"/>
      <c r="CH38" s="169"/>
      <c r="CI38" s="169"/>
      <c r="CJ38" s="169"/>
      <c r="CK38" s="169"/>
      <c r="CL38" s="169"/>
      <c r="CM38" s="169"/>
      <c r="CN38" s="169"/>
      <c r="CO38" s="169"/>
      <c r="CP38" s="169"/>
      <c r="CQ38" s="169"/>
      <c r="CR38" s="169"/>
      <c r="CS38" s="169"/>
      <c r="CT38" s="169"/>
      <c r="CU38" s="169"/>
      <c r="CV38" s="169"/>
      <c r="CW38" s="169"/>
      <c r="CX38" s="169"/>
      <c r="CY38" s="169"/>
      <c r="CZ38" s="169"/>
      <c r="DA38" s="169"/>
      <c r="DB38" s="169"/>
      <c r="DC38" s="169"/>
      <c r="DD38" s="169"/>
      <c r="DE38" s="169"/>
      <c r="DF38" s="169"/>
      <c r="DG38" s="169"/>
      <c r="DH38" s="169"/>
      <c r="DI38" s="169"/>
      <c r="DJ38" s="169"/>
      <c r="DK38" s="169"/>
      <c r="DL38" s="169"/>
      <c r="DM38" s="169"/>
      <c r="DN38" s="169"/>
      <c r="DO38" s="169"/>
      <c r="DP38" s="169"/>
      <c r="DQ38" s="169"/>
      <c r="DR38" s="169"/>
      <c r="DS38" s="169"/>
      <c r="DT38" s="169"/>
      <c r="DU38" s="169"/>
      <c r="DV38" s="169"/>
      <c r="DW38" s="169"/>
      <c r="DX38" s="169"/>
      <c r="DY38" s="169"/>
      <c r="DZ38" s="169"/>
      <c r="EA38" s="169"/>
      <c r="EB38" s="169"/>
      <c r="EC38" s="169"/>
      <c r="ED38" s="169"/>
      <c r="EE38" s="169"/>
      <c r="EF38" s="169"/>
      <c r="EG38" s="169"/>
      <c r="EH38" s="169"/>
      <c r="EI38" s="169"/>
      <c r="EJ38" s="169"/>
      <c r="EK38" s="169"/>
      <c r="EL38" s="169"/>
      <c r="EM38" s="169"/>
      <c r="EN38" s="169"/>
      <c r="EO38" s="169"/>
      <c r="EP38" s="169"/>
      <c r="EQ38" s="169"/>
      <c r="ER38" s="169"/>
      <c r="ES38" s="169"/>
      <c r="ET38" s="169"/>
      <c r="EU38" s="169"/>
      <c r="EV38" s="169"/>
      <c r="EW38" s="169"/>
      <c r="EX38" s="169"/>
      <c r="EY38" s="169"/>
      <c r="EZ38" s="169"/>
      <c r="FA38" s="169"/>
      <c r="FB38" s="169"/>
      <c r="FC38" s="169"/>
      <c r="FD38" s="169"/>
      <c r="FE38" s="169"/>
      <c r="FF38" s="169"/>
      <c r="FG38" s="169"/>
      <c r="FH38" s="169"/>
      <c r="FI38" s="169"/>
      <c r="FJ38" s="169"/>
      <c r="FK38" s="169"/>
      <c r="FL38" s="169"/>
      <c r="FM38" s="169"/>
      <c r="FN38" s="169"/>
      <c r="FO38" s="169"/>
      <c r="FP38" s="169"/>
      <c r="FQ38" s="169"/>
      <c r="FR38" s="169"/>
      <c r="FS38" s="169"/>
      <c r="FT38" s="169"/>
      <c r="FU38" s="169"/>
      <c r="FV38" s="169"/>
      <c r="FW38" s="169"/>
      <c r="FX38" s="169"/>
      <c r="FY38" s="169"/>
      <c r="FZ38" s="169"/>
      <c r="GA38" s="169"/>
      <c r="GB38" s="169"/>
      <c r="GC38" s="169"/>
    </row>
    <row r="39" spans="1:185">
      <c r="A39" s="155"/>
      <c r="B39" s="156"/>
      <c r="C39" s="231" t="s">
        <v>42</v>
      </c>
      <c r="E39" s="209" t="s">
        <v>43</v>
      </c>
      <c r="G39" s="209" t="s">
        <v>44</v>
      </c>
      <c r="I39" s="209" t="s">
        <v>45</v>
      </c>
      <c r="K39" s="217" t="s">
        <v>46</v>
      </c>
      <c r="M39" s="227"/>
      <c r="N39" s="218"/>
      <c r="O39" s="131" t="s">
        <v>51</v>
      </c>
      <c r="P39" s="223" t="s">
        <v>47</v>
      </c>
      <c r="Q39" s="228"/>
      <c r="R39" s="228"/>
      <c r="S39" s="228"/>
      <c r="T39" s="228">
        <f t="shared" ref="T39:Z39" si="28">TAUX_TRVX*T2_CONST_TTC</f>
        <v>0</v>
      </c>
      <c r="U39" s="228">
        <f t="shared" si="28"/>
        <v>0</v>
      </c>
      <c r="V39" s="228">
        <f t="shared" si="28"/>
        <v>0</v>
      </c>
      <c r="W39" s="228">
        <f t="shared" si="28"/>
        <v>0</v>
      </c>
      <c r="X39" s="228">
        <f t="shared" si="28"/>
        <v>0</v>
      </c>
      <c r="Y39" s="228">
        <f t="shared" si="28"/>
        <v>0</v>
      </c>
      <c r="Z39" s="228">
        <f t="shared" si="28"/>
        <v>0</v>
      </c>
      <c r="AA39" s="229">
        <f>AA$28*T2_CONST_TTC</f>
        <v>0</v>
      </c>
      <c r="BF39" s="166"/>
      <c r="BG39" s="166"/>
      <c r="BH39" s="167"/>
      <c r="BM39" s="168"/>
      <c r="BN39" s="169"/>
      <c r="BO39" s="169"/>
      <c r="BP39" s="169"/>
      <c r="BQ39" s="169"/>
      <c r="BR39" s="169"/>
      <c r="BS39" s="169"/>
      <c r="BT39" s="169"/>
      <c r="BU39" s="169"/>
      <c r="BV39" s="169"/>
      <c r="BW39" s="169"/>
      <c r="BX39" s="169"/>
      <c r="BY39" s="169"/>
      <c r="BZ39" s="169"/>
      <c r="CA39" s="169"/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  <c r="CN39" s="169"/>
      <c r="CO39" s="169"/>
      <c r="CP39" s="169"/>
      <c r="CQ39" s="169"/>
      <c r="CR39" s="169"/>
      <c r="CS39" s="169"/>
      <c r="CT39" s="169"/>
      <c r="CU39" s="169"/>
      <c r="CV39" s="169"/>
      <c r="CW39" s="169"/>
      <c r="CX39" s="169"/>
      <c r="CY39" s="169"/>
      <c r="CZ39" s="169"/>
      <c r="DA39" s="169"/>
      <c r="DB39" s="169"/>
      <c r="DC39" s="169"/>
      <c r="DD39" s="169"/>
      <c r="DE39" s="169"/>
      <c r="DF39" s="169"/>
      <c r="DG39" s="169"/>
      <c r="DH39" s="169"/>
      <c r="DI39" s="169"/>
      <c r="DJ39" s="169"/>
      <c r="DK39" s="169"/>
      <c r="DL39" s="169"/>
      <c r="DM39" s="169"/>
      <c r="DN39" s="169"/>
      <c r="DO39" s="169"/>
      <c r="DP39" s="169"/>
      <c r="DQ39" s="169"/>
      <c r="DR39" s="169"/>
      <c r="DS39" s="169"/>
      <c r="DT39" s="169"/>
      <c r="DU39" s="169"/>
      <c r="DV39" s="169"/>
      <c r="DW39" s="169"/>
      <c r="DX39" s="169"/>
      <c r="DY39" s="169"/>
      <c r="DZ39" s="169"/>
      <c r="EA39" s="169"/>
      <c r="EB39" s="169"/>
      <c r="EC39" s="169"/>
      <c r="ED39" s="169"/>
      <c r="EE39" s="169"/>
      <c r="EF39" s="169"/>
      <c r="EG39" s="169"/>
      <c r="EH39" s="169"/>
      <c r="EI39" s="169"/>
      <c r="EJ39" s="169"/>
      <c r="EK39" s="169"/>
      <c r="EL39" s="169"/>
      <c r="EM39" s="169"/>
      <c r="EN39" s="169"/>
      <c r="EO39" s="169"/>
      <c r="EP39" s="169"/>
      <c r="EQ39" s="169"/>
      <c r="ER39" s="169"/>
      <c r="ES39" s="169"/>
      <c r="ET39" s="169"/>
      <c r="EU39" s="169"/>
      <c r="EV39" s="169"/>
      <c r="EW39" s="169"/>
      <c r="EX39" s="169"/>
      <c r="EY39" s="169"/>
      <c r="EZ39" s="169"/>
      <c r="FA39" s="169"/>
      <c r="FB39" s="169"/>
      <c r="FC39" s="169"/>
      <c r="FD39" s="169"/>
      <c r="FE39" s="169"/>
      <c r="FF39" s="169"/>
      <c r="FG39" s="169"/>
      <c r="FH39" s="169"/>
      <c r="FI39" s="169"/>
      <c r="FJ39" s="169"/>
      <c r="FK39" s="169"/>
      <c r="FL39" s="169"/>
      <c r="FM39" s="169"/>
      <c r="FN39" s="169"/>
      <c r="FO39" s="169"/>
      <c r="FP39" s="169"/>
      <c r="FQ39" s="169"/>
      <c r="FR39" s="169"/>
      <c r="FS39" s="169"/>
      <c r="FT39" s="169"/>
      <c r="FU39" s="169"/>
      <c r="FV39" s="169"/>
      <c r="FW39" s="169"/>
      <c r="FX39" s="169"/>
      <c r="FY39" s="169"/>
      <c r="FZ39" s="169"/>
      <c r="GA39" s="169"/>
      <c r="GB39" s="169"/>
      <c r="GC39" s="169"/>
    </row>
    <row r="40" spans="1:185">
      <c r="A40" s="155"/>
      <c r="B40" s="157">
        <v>0.19600000000000001</v>
      </c>
      <c r="C40" s="232">
        <v>0</v>
      </c>
      <c r="D40" s="152"/>
      <c r="E40" s="209"/>
      <c r="G40" s="233"/>
      <c r="H40" s="208"/>
      <c r="I40" s="233"/>
      <c r="J40" s="208"/>
      <c r="K40" s="234"/>
      <c r="L40" s="208"/>
      <c r="M40" s="227"/>
      <c r="N40" s="218"/>
      <c r="P40" s="235" t="s">
        <v>48</v>
      </c>
      <c r="S40" s="228"/>
      <c r="T40" s="228" t="e">
        <f>(U39-T39)/(U38-T38)</f>
        <v>#DIV/0!</v>
      </c>
      <c r="U40" s="228" t="e">
        <f>(V39-U39)/(V38-U38)</f>
        <v>#DIV/0!</v>
      </c>
      <c r="V40" s="228" t="e">
        <f>(W39-V39)/(W38-V38)</f>
        <v>#DIV/0!</v>
      </c>
      <c r="W40" s="228" t="e">
        <f>(X39-W39)/(X38-W38)</f>
        <v>#DIV/0!</v>
      </c>
      <c r="X40" s="228" t="e">
        <f>(Y39-X39)/(Y38-X38)</f>
        <v>#DIV/0!</v>
      </c>
      <c r="Y40" s="228" t="e">
        <f>(Z39-Y39)/(T2_LI-Y38)</f>
        <v>#DIV/0!</v>
      </c>
      <c r="Z40" s="228">
        <f>(AA39-Z39)/(AA38-T2_LI)</f>
        <v>0</v>
      </c>
      <c r="AA40" s="229"/>
      <c r="BF40" s="166"/>
      <c r="BG40" s="166"/>
      <c r="BH40" s="167"/>
      <c r="BM40" s="168"/>
      <c r="BN40" s="169"/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169"/>
      <c r="CA40" s="169"/>
      <c r="CB40" s="169"/>
      <c r="CC40" s="169"/>
      <c r="CD40" s="169"/>
      <c r="CE40" s="169"/>
      <c r="CF40" s="169"/>
      <c r="CG40" s="169"/>
      <c r="CH40" s="169"/>
      <c r="CI40" s="169"/>
      <c r="CJ40" s="169"/>
      <c r="CK40" s="169"/>
      <c r="CL40" s="169"/>
      <c r="CM40" s="169"/>
      <c r="CN40" s="169"/>
      <c r="CO40" s="169"/>
      <c r="CP40" s="169"/>
      <c r="CQ40" s="169"/>
      <c r="CR40" s="169"/>
      <c r="CS40" s="169"/>
      <c r="CT40" s="169"/>
      <c r="CU40" s="169"/>
      <c r="CV40" s="169"/>
      <c r="CW40" s="169"/>
      <c r="CX40" s="169"/>
      <c r="CY40" s="169"/>
      <c r="CZ40" s="169"/>
      <c r="DA40" s="169"/>
      <c r="DB40" s="169"/>
      <c r="DC40" s="169"/>
      <c r="DD40" s="169"/>
      <c r="DE40" s="169"/>
      <c r="DF40" s="169"/>
      <c r="DG40" s="169"/>
      <c r="DH40" s="169"/>
      <c r="DI40" s="169"/>
      <c r="DJ40" s="169"/>
      <c r="DK40" s="169"/>
      <c r="DL40" s="169"/>
      <c r="DM40" s="169"/>
      <c r="DN40" s="169"/>
      <c r="DO40" s="169"/>
      <c r="DP40" s="169"/>
      <c r="DQ40" s="169"/>
      <c r="DR40" s="169"/>
      <c r="DS40" s="169"/>
      <c r="DT40" s="169"/>
      <c r="DU40" s="169"/>
      <c r="DV40" s="169"/>
      <c r="DW40" s="169"/>
      <c r="DX40" s="169"/>
      <c r="DY40" s="169"/>
      <c r="DZ40" s="169"/>
      <c r="EA40" s="169"/>
      <c r="EB40" s="169"/>
      <c r="EC40" s="169"/>
      <c r="ED40" s="169"/>
      <c r="EE40" s="169"/>
      <c r="EF40" s="169"/>
      <c r="EG40" s="169"/>
      <c r="EH40" s="169"/>
      <c r="EI40" s="169"/>
      <c r="EJ40" s="169"/>
      <c r="EK40" s="169"/>
      <c r="EL40" s="169"/>
      <c r="EM40" s="169"/>
      <c r="EN40" s="169"/>
      <c r="EO40" s="169"/>
      <c r="EP40" s="169"/>
      <c r="EQ40" s="169"/>
      <c r="ER40" s="169"/>
      <c r="ES40" s="169"/>
      <c r="ET40" s="169"/>
      <c r="EU40" s="169"/>
      <c r="EV40" s="169"/>
      <c r="EW40" s="169"/>
      <c r="EX40" s="169"/>
      <c r="EY40" s="169"/>
      <c r="EZ40" s="169"/>
      <c r="FA40" s="169"/>
      <c r="FB40" s="169"/>
      <c r="FC40" s="169"/>
      <c r="FD40" s="169"/>
      <c r="FE40" s="169"/>
      <c r="FF40" s="169"/>
      <c r="FG40" s="169"/>
      <c r="FH40" s="169"/>
      <c r="FI40" s="169"/>
      <c r="FJ40" s="169"/>
      <c r="FK40" s="169"/>
      <c r="FL40" s="169"/>
      <c r="FM40" s="169"/>
      <c r="FN40" s="169"/>
      <c r="FO40" s="169"/>
      <c r="FP40" s="169"/>
      <c r="FQ40" s="169"/>
      <c r="FR40" s="169"/>
      <c r="FS40" s="169"/>
      <c r="FT40" s="169"/>
      <c r="FU40" s="169"/>
      <c r="FV40" s="169"/>
      <c r="FW40" s="169"/>
      <c r="FX40" s="169"/>
      <c r="FY40" s="169"/>
      <c r="FZ40" s="169"/>
      <c r="GA40" s="169"/>
      <c r="GB40" s="169"/>
      <c r="GC40" s="169"/>
    </row>
    <row r="41" spans="1:185">
      <c r="A41" s="155"/>
      <c r="B41" s="156"/>
      <c r="C41" s="157"/>
      <c r="D41" s="152"/>
      <c r="E41" s="208"/>
      <c r="F41" s="208"/>
      <c r="G41" s="208"/>
      <c r="H41" s="208"/>
      <c r="I41" s="208"/>
      <c r="J41" s="208"/>
      <c r="K41" s="208"/>
      <c r="L41" s="208"/>
      <c r="M41" s="227"/>
      <c r="N41" s="218"/>
      <c r="P41" s="236" t="s">
        <v>49</v>
      </c>
      <c r="Q41" s="237"/>
      <c r="R41" s="237"/>
      <c r="S41" s="238"/>
      <c r="T41" s="238">
        <f t="shared" ref="T41:AA41" si="29">T2_CAF_LOTS*T2_TAUX_APF</f>
        <v>0</v>
      </c>
      <c r="U41" s="238">
        <f t="shared" si="29"/>
        <v>0</v>
      </c>
      <c r="V41" s="238">
        <f t="shared" si="29"/>
        <v>0</v>
      </c>
      <c r="W41" s="238">
        <f t="shared" si="29"/>
        <v>0</v>
      </c>
      <c r="X41" s="238">
        <f t="shared" si="29"/>
        <v>0</v>
      </c>
      <c r="Y41" s="238">
        <f t="shared" si="29"/>
        <v>0</v>
      </c>
      <c r="Z41" s="238">
        <f t="shared" si="29"/>
        <v>0</v>
      </c>
      <c r="AA41" s="238">
        <f t="shared" si="29"/>
        <v>0</v>
      </c>
      <c r="AC41" s="228"/>
      <c r="AD41" s="228"/>
      <c r="AE41" s="228"/>
      <c r="BF41" s="166"/>
      <c r="BG41" s="166"/>
      <c r="BH41" s="167"/>
      <c r="BM41" s="168"/>
      <c r="BN41" s="169"/>
      <c r="BO41" s="169"/>
      <c r="BP41" s="169"/>
      <c r="BQ41" s="169"/>
      <c r="BR41" s="169"/>
      <c r="BS41" s="169"/>
      <c r="BT41" s="169"/>
      <c r="BU41" s="169"/>
      <c r="BV41" s="169"/>
      <c r="BW41" s="169"/>
      <c r="BX41" s="169"/>
      <c r="BY41" s="169"/>
      <c r="BZ41" s="169"/>
      <c r="CA41" s="169"/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  <c r="CN41" s="169"/>
      <c r="CO41" s="169"/>
      <c r="CP41" s="169"/>
      <c r="CQ41" s="169"/>
      <c r="CR41" s="169"/>
      <c r="CS41" s="169"/>
      <c r="CT41" s="169"/>
      <c r="CU41" s="169"/>
      <c r="CV41" s="169"/>
      <c r="CW41" s="169"/>
      <c r="CX41" s="169"/>
      <c r="CY41" s="169"/>
      <c r="CZ41" s="169"/>
      <c r="DA41" s="169"/>
      <c r="DB41" s="169"/>
      <c r="DC41" s="169"/>
      <c r="DD41" s="169"/>
      <c r="DE41" s="169"/>
      <c r="DF41" s="169"/>
      <c r="DG41" s="169"/>
      <c r="DH41" s="169"/>
      <c r="DI41" s="169"/>
      <c r="DJ41" s="169"/>
      <c r="DK41" s="169"/>
      <c r="DL41" s="169"/>
      <c r="DM41" s="169"/>
      <c r="DN41" s="169"/>
      <c r="DO41" s="169"/>
      <c r="DP41" s="169"/>
      <c r="DQ41" s="169"/>
      <c r="DR41" s="169"/>
      <c r="DS41" s="169"/>
      <c r="DT41" s="169"/>
      <c r="DU41" s="169"/>
      <c r="DV41" s="169"/>
      <c r="DW41" s="169"/>
      <c r="DX41" s="169"/>
      <c r="DY41" s="169"/>
      <c r="DZ41" s="169"/>
      <c r="EA41" s="169"/>
      <c r="EB41" s="169"/>
      <c r="EC41" s="169"/>
      <c r="ED41" s="169"/>
      <c r="EE41" s="169"/>
      <c r="EF41" s="169"/>
      <c r="EG41" s="169"/>
      <c r="EH41" s="169"/>
      <c r="EI41" s="169"/>
      <c r="EJ41" s="169"/>
      <c r="EK41" s="169"/>
      <c r="EL41" s="169"/>
      <c r="EM41" s="169"/>
      <c r="EN41" s="169"/>
      <c r="EO41" s="169"/>
      <c r="EP41" s="169"/>
      <c r="EQ41" s="169"/>
      <c r="ER41" s="169"/>
      <c r="ES41" s="169"/>
      <c r="ET41" s="169"/>
      <c r="EU41" s="169"/>
      <c r="EV41" s="169"/>
      <c r="EW41" s="169"/>
      <c r="EX41" s="169"/>
      <c r="EY41" s="169"/>
      <c r="EZ41" s="169"/>
      <c r="FA41" s="169"/>
      <c r="FB41" s="169"/>
      <c r="FC41" s="169"/>
      <c r="FD41" s="169"/>
      <c r="FE41" s="169"/>
      <c r="FF41" s="169"/>
      <c r="FG41" s="169"/>
      <c r="FH41" s="169"/>
      <c r="FI41" s="169"/>
      <c r="FJ41" s="169"/>
      <c r="FK41" s="169"/>
      <c r="FL41" s="169"/>
      <c r="FM41" s="169"/>
      <c r="FN41" s="169"/>
      <c r="FO41" s="169"/>
      <c r="FP41" s="169"/>
      <c r="FQ41" s="169"/>
      <c r="FR41" s="169"/>
      <c r="FS41" s="169"/>
      <c r="FT41" s="169"/>
      <c r="FU41" s="169"/>
      <c r="FV41" s="169"/>
      <c r="FW41" s="169"/>
      <c r="FX41" s="169"/>
      <c r="FY41" s="169"/>
      <c r="FZ41" s="169"/>
      <c r="GA41" s="169"/>
      <c r="GB41" s="169"/>
      <c r="GC41" s="169"/>
    </row>
    <row r="42" spans="1:185">
      <c r="A42" s="155"/>
      <c r="B42" s="156"/>
      <c r="C42" s="157"/>
      <c r="D42" s="240"/>
      <c r="E42" s="241"/>
      <c r="F42" s="241"/>
      <c r="G42" s="241"/>
      <c r="H42" s="241"/>
      <c r="I42" s="241"/>
      <c r="J42" s="241"/>
      <c r="K42" s="241"/>
      <c r="L42" s="241"/>
      <c r="M42" s="242"/>
      <c r="N42" s="218"/>
      <c r="P42" s="219" t="s">
        <v>38</v>
      </c>
      <c r="Q42" s="212"/>
      <c r="R42" s="197" t="str">
        <f>E27</f>
        <v>% APF</v>
      </c>
      <c r="S42" s="192"/>
      <c r="T42" s="198">
        <f t="shared" ref="T42:AA42" si="30">IF(T3_CODE_ENC="O",0,TAUX_APF)</f>
        <v>0.35</v>
      </c>
      <c r="U42" s="198">
        <f t="shared" si="30"/>
        <v>0.55000000000000004</v>
      </c>
      <c r="V42" s="198">
        <f t="shared" si="30"/>
        <v>0.65</v>
      </c>
      <c r="W42" s="198">
        <f t="shared" si="30"/>
        <v>0.7</v>
      </c>
      <c r="X42" s="198">
        <f t="shared" si="30"/>
        <v>0.85</v>
      </c>
      <c r="Y42" s="198">
        <f t="shared" si="30"/>
        <v>0.9</v>
      </c>
      <c r="Z42" s="198">
        <f t="shared" si="30"/>
        <v>1</v>
      </c>
      <c r="AA42" s="198">
        <f t="shared" si="30"/>
        <v>1</v>
      </c>
      <c r="AC42" s="228"/>
      <c r="AD42" s="228"/>
      <c r="AE42" s="228"/>
      <c r="BF42" s="166"/>
      <c r="BG42" s="166"/>
      <c r="BH42" s="167"/>
      <c r="BM42" s="168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  <c r="CN42" s="169"/>
      <c r="CO42" s="169"/>
      <c r="CP42" s="169"/>
      <c r="CQ42" s="169"/>
      <c r="CR42" s="169"/>
      <c r="CS42" s="169"/>
      <c r="CT42" s="169"/>
      <c r="CU42" s="169"/>
      <c r="CV42" s="169"/>
      <c r="CW42" s="169"/>
      <c r="CX42" s="169"/>
      <c r="CY42" s="169"/>
      <c r="CZ42" s="169"/>
      <c r="DA42" s="169"/>
      <c r="DB42" s="169"/>
      <c r="DC42" s="169"/>
      <c r="DD42" s="169"/>
      <c r="DE42" s="169"/>
      <c r="DF42" s="169"/>
      <c r="DG42" s="169"/>
      <c r="DH42" s="169"/>
      <c r="DI42" s="169"/>
      <c r="DJ42" s="169"/>
      <c r="DK42" s="169"/>
      <c r="DL42" s="169"/>
      <c r="DM42" s="169"/>
      <c r="DN42" s="169"/>
      <c r="DO42" s="169"/>
      <c r="DP42" s="169"/>
      <c r="DQ42" s="169"/>
      <c r="DR42" s="169"/>
      <c r="DS42" s="169"/>
      <c r="DT42" s="169"/>
      <c r="DU42" s="169"/>
      <c r="DV42" s="169"/>
      <c r="DW42" s="169"/>
      <c r="DX42" s="169"/>
      <c r="DY42" s="169"/>
      <c r="DZ42" s="169"/>
      <c r="EA42" s="169"/>
      <c r="EB42" s="169"/>
      <c r="EC42" s="169"/>
      <c r="ED42" s="169"/>
      <c r="EE42" s="169"/>
      <c r="EF42" s="169"/>
      <c r="EG42" s="169"/>
      <c r="EH42" s="169"/>
      <c r="EI42" s="169"/>
      <c r="EJ42" s="169"/>
      <c r="EK42" s="169"/>
      <c r="EL42" s="169"/>
      <c r="EM42" s="169"/>
      <c r="EN42" s="169"/>
      <c r="EO42" s="169"/>
      <c r="EP42" s="169"/>
      <c r="EQ42" s="169"/>
      <c r="ER42" s="169"/>
      <c r="ES42" s="169"/>
      <c r="ET42" s="169"/>
      <c r="EU42" s="169"/>
      <c r="EV42" s="169"/>
      <c r="EW42" s="169"/>
      <c r="EX42" s="169"/>
      <c r="EY42" s="169"/>
      <c r="EZ42" s="169"/>
      <c r="FA42" s="169"/>
      <c r="FB42" s="169"/>
      <c r="FC42" s="169"/>
      <c r="FD42" s="169"/>
      <c r="FE42" s="169"/>
      <c r="FF42" s="169"/>
      <c r="FG42" s="169"/>
      <c r="FH42" s="169"/>
      <c r="FI42" s="169"/>
      <c r="FJ42" s="169"/>
      <c r="FK42" s="169"/>
      <c r="FL42" s="169"/>
      <c r="FM42" s="169"/>
      <c r="FN42" s="169"/>
      <c r="FO42" s="169"/>
      <c r="FP42" s="169"/>
      <c r="FQ42" s="169"/>
      <c r="FR42" s="169"/>
      <c r="FS42" s="169"/>
      <c r="FT42" s="169"/>
      <c r="FU42" s="169"/>
      <c r="FV42" s="169"/>
      <c r="FW42" s="169"/>
      <c r="FX42" s="169"/>
      <c r="FY42" s="169"/>
      <c r="FZ42" s="169"/>
      <c r="GA42" s="169"/>
      <c r="GB42" s="169"/>
      <c r="GC42" s="169"/>
    </row>
    <row r="43" spans="1:185">
      <c r="A43" s="155" t="s">
        <v>52</v>
      </c>
      <c r="B43" s="156"/>
      <c r="C43" s="157">
        <v>0.19600000000000001</v>
      </c>
      <c r="D43" s="220">
        <v>0</v>
      </c>
      <c r="E43" s="221"/>
      <c r="F43" s="221"/>
      <c r="G43" s="221"/>
      <c r="H43" s="221"/>
      <c r="I43" s="221"/>
      <c r="J43" s="221"/>
      <c r="K43" s="221"/>
      <c r="L43" s="221"/>
      <c r="M43" s="222"/>
      <c r="N43" s="243"/>
      <c r="P43" s="223"/>
      <c r="Q43" s="183" t="e">
        <f>DATE(YEAR(DATE_DEBUT)-1,MONTH(DATE_DEBUT),DAY(DATE_DEBUT))</f>
        <v>#VALUE!</v>
      </c>
      <c r="R43" s="183">
        <f t="shared" ref="R43:Z43" si="31">E43</f>
        <v>0</v>
      </c>
      <c r="S43" s="183">
        <f t="shared" si="31"/>
        <v>0</v>
      </c>
      <c r="T43" s="183">
        <f t="shared" si="31"/>
        <v>0</v>
      </c>
      <c r="U43" s="183">
        <f t="shared" si="31"/>
        <v>0</v>
      </c>
      <c r="V43" s="183">
        <f t="shared" si="31"/>
        <v>0</v>
      </c>
      <c r="W43" s="183">
        <f t="shared" si="31"/>
        <v>0</v>
      </c>
      <c r="X43" s="183">
        <f t="shared" si="31"/>
        <v>0</v>
      </c>
      <c r="Y43" s="183">
        <f t="shared" si="31"/>
        <v>0</v>
      </c>
      <c r="Z43" s="183">
        <f t="shared" si="31"/>
        <v>0</v>
      </c>
      <c r="AA43" s="224">
        <f>DATE(YEAR(Z43),MONTH(Z43)+6,1)</f>
        <v>183</v>
      </c>
      <c r="AC43" s="209" t="s">
        <v>40</v>
      </c>
      <c r="AD43" s="225"/>
      <c r="AE43" s="226">
        <f>T3_LI-T3_DT+1</f>
        <v>1</v>
      </c>
      <c r="BF43" s="166">
        <f>D43</f>
        <v>0</v>
      </c>
      <c r="BG43" s="166">
        <f>ROUND(BF43*(1+C43),0)</f>
        <v>0</v>
      </c>
      <c r="BH43" s="167">
        <f>BG43-BF43</f>
        <v>0</v>
      </c>
      <c r="BM43" s="168" t="e">
        <f>HLOOKUP(BM$3-DEC_FRN,T3_CONST_TABLE,2)+HLOOKUP(BM$3-DEC_FRN,T3_CONST_TABLE,3)*((BM$3-DEC_FRN-HLOOKUP(BM$3-DEC_FRN,T3_CONST_TABLE,1))+IF(BM$3-DEC_FRN&gt;=T3_LI,1,0))</f>
        <v>#VALUE!</v>
      </c>
      <c r="BN43" s="169" t="e">
        <f>HLOOKUP(BN$3-DEC_FRN,T3_CONST_TABLE,2)+HLOOKUP(BN$3-DEC_FRN,T3_CONST_TABLE,3)*((BN$3-DEC_FRN-HLOOKUP(BN$3-DEC_FRN,T3_CONST_TABLE,1))+IF(BN$3-DEC_FRN&gt;=T3_LI,1,0))</f>
        <v>#VALUE!</v>
      </c>
      <c r="BO43" s="169"/>
      <c r="BP43" s="169"/>
      <c r="BQ43" s="169"/>
      <c r="BR43" s="169"/>
      <c r="BS43" s="169"/>
      <c r="BT43" s="169"/>
      <c r="BU43" s="169"/>
      <c r="BV43" s="169"/>
      <c r="BW43" s="169"/>
      <c r="BX43" s="169"/>
      <c r="BY43" s="169"/>
      <c r="BZ43" s="169"/>
      <c r="CA43" s="169"/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  <c r="CN43" s="169"/>
      <c r="CO43" s="169"/>
      <c r="CP43" s="169"/>
      <c r="CQ43" s="169"/>
      <c r="CR43" s="169"/>
      <c r="CS43" s="169"/>
      <c r="CT43" s="169"/>
      <c r="CU43" s="169"/>
      <c r="CV43" s="169"/>
      <c r="CW43" s="169"/>
      <c r="CX43" s="169"/>
      <c r="CY43" s="169"/>
      <c r="CZ43" s="169"/>
      <c r="DA43" s="169"/>
      <c r="DB43" s="169"/>
      <c r="DC43" s="169"/>
      <c r="DD43" s="169"/>
      <c r="DE43" s="169"/>
      <c r="DF43" s="169"/>
      <c r="DG43" s="169"/>
      <c r="DH43" s="169"/>
      <c r="DI43" s="169"/>
      <c r="DJ43" s="169"/>
      <c r="DK43" s="169"/>
      <c r="DL43" s="169"/>
      <c r="DM43" s="169"/>
      <c r="DN43" s="169"/>
      <c r="DO43" s="169"/>
      <c r="DP43" s="169"/>
      <c r="DQ43" s="169"/>
      <c r="DR43" s="169"/>
      <c r="DS43" s="169"/>
      <c r="DT43" s="169"/>
      <c r="DU43" s="169"/>
      <c r="DV43" s="169"/>
      <c r="DW43" s="169"/>
      <c r="DX43" s="169"/>
      <c r="DY43" s="169"/>
      <c r="DZ43" s="169"/>
      <c r="EA43" s="169"/>
      <c r="EB43" s="169"/>
      <c r="EC43" s="169"/>
      <c r="ED43" s="169"/>
      <c r="EE43" s="169"/>
      <c r="EF43" s="169"/>
      <c r="EG43" s="169"/>
      <c r="EH43" s="169"/>
      <c r="EI43" s="169"/>
      <c r="EJ43" s="169"/>
      <c r="EK43" s="169"/>
      <c r="EL43" s="169"/>
      <c r="EM43" s="169"/>
      <c r="EN43" s="169"/>
      <c r="EO43" s="169"/>
      <c r="EP43" s="169"/>
      <c r="EQ43" s="169"/>
      <c r="ER43" s="169"/>
      <c r="ES43" s="169"/>
      <c r="ET43" s="169"/>
      <c r="EU43" s="169"/>
      <c r="EV43" s="169"/>
      <c r="EW43" s="169"/>
      <c r="EX43" s="169"/>
      <c r="EY43" s="169"/>
      <c r="EZ43" s="169"/>
      <c r="FA43" s="169"/>
      <c r="FB43" s="169"/>
      <c r="FC43" s="169"/>
      <c r="FD43" s="169"/>
      <c r="FE43" s="169"/>
      <c r="FF43" s="169"/>
      <c r="FG43" s="169"/>
      <c r="FH43" s="169"/>
      <c r="FI43" s="169"/>
      <c r="FJ43" s="169"/>
      <c r="FK43" s="169"/>
      <c r="FL43" s="169"/>
      <c r="FM43" s="169"/>
      <c r="FN43" s="169"/>
      <c r="FO43" s="169"/>
      <c r="FP43" s="169"/>
      <c r="FQ43" s="169"/>
      <c r="FR43" s="169"/>
      <c r="FS43" s="169"/>
      <c r="FT43" s="169"/>
      <c r="FU43" s="169"/>
      <c r="FV43" s="169"/>
      <c r="FW43" s="169"/>
      <c r="FX43" s="169"/>
      <c r="FY43" s="169"/>
      <c r="FZ43" s="169"/>
      <c r="GA43" s="169"/>
      <c r="GB43" s="169"/>
      <c r="GC43" s="169"/>
    </row>
    <row r="44" spans="1:185">
      <c r="A44" s="155"/>
      <c r="B44" s="156"/>
      <c r="C44" s="157"/>
      <c r="D44" s="152"/>
      <c r="E44" s="208"/>
      <c r="F44" s="208"/>
      <c r="G44" s="208"/>
      <c r="H44" s="208"/>
      <c r="I44" s="208"/>
      <c r="J44" s="208"/>
      <c r="K44" s="208"/>
      <c r="L44" s="208"/>
      <c r="M44" s="227"/>
      <c r="N44" s="218"/>
      <c r="P44" s="223"/>
      <c r="Q44" s="228" t="e">
        <f t="shared" ref="Q44:AA44" si="32">YEAR(Q43)*12+MONTH(Q43)</f>
        <v>#VALUE!</v>
      </c>
      <c r="R44" s="228">
        <f t="shared" si="32"/>
        <v>22801</v>
      </c>
      <c r="S44" s="228">
        <f t="shared" si="32"/>
        <v>22801</v>
      </c>
      <c r="T44" s="228">
        <f t="shared" si="32"/>
        <v>22801</v>
      </c>
      <c r="U44" s="228">
        <f t="shared" si="32"/>
        <v>22801</v>
      </c>
      <c r="V44" s="228">
        <f t="shared" si="32"/>
        <v>22801</v>
      </c>
      <c r="W44" s="228">
        <f t="shared" si="32"/>
        <v>22801</v>
      </c>
      <c r="X44" s="228">
        <f t="shared" si="32"/>
        <v>22801</v>
      </c>
      <c r="Y44" s="228">
        <f t="shared" si="32"/>
        <v>22801</v>
      </c>
      <c r="Z44" s="228">
        <f t="shared" si="32"/>
        <v>22801</v>
      </c>
      <c r="AA44" s="229">
        <f t="shared" si="32"/>
        <v>22807</v>
      </c>
      <c r="AC44" s="183"/>
      <c r="BF44" s="166"/>
      <c r="BG44" s="166"/>
      <c r="BH44" s="167"/>
      <c r="BM44" s="168"/>
      <c r="BN44" s="169"/>
      <c r="BO44" s="169"/>
      <c r="BP44" s="169"/>
      <c r="BQ44" s="169"/>
      <c r="BR44" s="169"/>
      <c r="BS44" s="169"/>
      <c r="BT44" s="169"/>
      <c r="BU44" s="169"/>
      <c r="BV44" s="169"/>
      <c r="BW44" s="169"/>
      <c r="BX44" s="169"/>
      <c r="BY44" s="169"/>
      <c r="BZ44" s="169"/>
      <c r="CA44" s="169"/>
      <c r="CB44" s="169"/>
      <c r="CC44" s="169"/>
      <c r="CD44" s="169"/>
      <c r="CE44" s="169"/>
      <c r="CF44" s="169"/>
      <c r="CG44" s="169"/>
      <c r="CH44" s="169"/>
      <c r="CI44" s="169"/>
      <c r="CJ44" s="169"/>
      <c r="CK44" s="169"/>
      <c r="CL44" s="169"/>
      <c r="CM44" s="169"/>
      <c r="CN44" s="169"/>
      <c r="CO44" s="169"/>
      <c r="CP44" s="169"/>
      <c r="CQ44" s="169"/>
      <c r="CR44" s="169"/>
      <c r="CS44" s="169"/>
      <c r="CT44" s="169"/>
      <c r="CU44" s="169"/>
      <c r="CV44" s="169"/>
      <c r="CW44" s="169"/>
      <c r="CX44" s="169"/>
      <c r="CY44" s="169"/>
      <c r="CZ44" s="169"/>
      <c r="DA44" s="169"/>
      <c r="DB44" s="169"/>
      <c r="DC44" s="169"/>
      <c r="DD44" s="169"/>
      <c r="DE44" s="169"/>
      <c r="DF44" s="169"/>
      <c r="DG44" s="169"/>
      <c r="DH44" s="169"/>
      <c r="DI44" s="169"/>
      <c r="DJ44" s="169"/>
      <c r="DK44" s="169"/>
      <c r="DL44" s="169"/>
      <c r="DM44" s="169"/>
      <c r="DN44" s="169"/>
      <c r="DO44" s="169"/>
      <c r="DP44" s="169"/>
      <c r="DQ44" s="169"/>
      <c r="DR44" s="169"/>
      <c r="DS44" s="169"/>
      <c r="DT44" s="169"/>
      <c r="DU44" s="169"/>
      <c r="DV44" s="169"/>
      <c r="DW44" s="169"/>
      <c r="DX44" s="169"/>
      <c r="DY44" s="169"/>
      <c r="DZ44" s="169"/>
      <c r="EA44" s="169"/>
      <c r="EB44" s="169"/>
      <c r="EC44" s="169"/>
      <c r="ED44" s="169"/>
      <c r="EE44" s="169"/>
      <c r="EF44" s="169"/>
      <c r="EG44" s="169"/>
      <c r="EH44" s="169"/>
      <c r="EI44" s="169"/>
      <c r="EJ44" s="169"/>
      <c r="EK44" s="169"/>
      <c r="EL44" s="169"/>
      <c r="EM44" s="169"/>
      <c r="EN44" s="169"/>
      <c r="EO44" s="169"/>
      <c r="EP44" s="169"/>
      <c r="EQ44" s="169"/>
      <c r="ER44" s="169"/>
      <c r="ES44" s="169"/>
      <c r="ET44" s="169"/>
      <c r="EU44" s="169"/>
      <c r="EV44" s="169"/>
      <c r="EW44" s="169"/>
      <c r="EX44" s="169"/>
      <c r="EY44" s="169"/>
      <c r="EZ44" s="169"/>
      <c r="FA44" s="169"/>
      <c r="FB44" s="169"/>
      <c r="FC44" s="169"/>
      <c r="FD44" s="169"/>
      <c r="FE44" s="169"/>
      <c r="FF44" s="169"/>
      <c r="FG44" s="169"/>
      <c r="FH44" s="169"/>
      <c r="FI44" s="169"/>
      <c r="FJ44" s="169"/>
      <c r="FK44" s="169"/>
      <c r="FL44" s="169"/>
      <c r="FM44" s="169"/>
      <c r="FN44" s="169"/>
      <c r="FO44" s="169"/>
      <c r="FP44" s="169"/>
      <c r="FQ44" s="169"/>
      <c r="FR44" s="169"/>
      <c r="FS44" s="169"/>
      <c r="FT44" s="169"/>
      <c r="FU44" s="169"/>
      <c r="FV44" s="169"/>
      <c r="FW44" s="169"/>
      <c r="FX44" s="169"/>
      <c r="FY44" s="169"/>
      <c r="FZ44" s="169"/>
      <c r="GA44" s="169"/>
      <c r="GB44" s="169"/>
      <c r="GC44" s="169"/>
    </row>
    <row r="45" spans="1:185">
      <c r="A45" s="155"/>
      <c r="B45" s="156"/>
      <c r="C45" s="231" t="s">
        <v>42</v>
      </c>
      <c r="E45" s="209" t="s">
        <v>43</v>
      </c>
      <c r="G45" s="209" t="s">
        <v>44</v>
      </c>
      <c r="I45" s="209" t="s">
        <v>45</v>
      </c>
      <c r="K45" s="217" t="s">
        <v>46</v>
      </c>
      <c r="M45" s="227"/>
      <c r="N45" s="218"/>
      <c r="O45" s="131" t="s">
        <v>53</v>
      </c>
      <c r="P45" s="223" t="s">
        <v>47</v>
      </c>
      <c r="Q45" s="228"/>
      <c r="R45" s="228"/>
      <c r="S45" s="228"/>
      <c r="T45" s="228">
        <f t="shared" ref="T45:Z45" si="33">TAUX_TRVX*T3_CONST_TTC</f>
        <v>0</v>
      </c>
      <c r="U45" s="228">
        <f t="shared" si="33"/>
        <v>0</v>
      </c>
      <c r="V45" s="228">
        <f t="shared" si="33"/>
        <v>0</v>
      </c>
      <c r="W45" s="228">
        <f t="shared" si="33"/>
        <v>0</v>
      </c>
      <c r="X45" s="228">
        <f t="shared" si="33"/>
        <v>0</v>
      </c>
      <c r="Y45" s="228">
        <f t="shared" si="33"/>
        <v>0</v>
      </c>
      <c r="Z45" s="228">
        <f t="shared" si="33"/>
        <v>0</v>
      </c>
      <c r="AA45" s="229">
        <f>AA$28*T3_CONST_TTC</f>
        <v>0</v>
      </c>
      <c r="BF45" s="166"/>
      <c r="BG45" s="166"/>
      <c r="BH45" s="167"/>
      <c r="BM45" s="168"/>
      <c r="BN45" s="169"/>
      <c r="BO45" s="169"/>
      <c r="BP45" s="169"/>
      <c r="BQ45" s="169"/>
      <c r="BR45" s="169"/>
      <c r="BS45" s="169"/>
      <c r="BT45" s="169"/>
      <c r="BU45" s="169"/>
      <c r="BV45" s="169"/>
      <c r="BW45" s="169"/>
      <c r="BX45" s="169"/>
      <c r="BY45" s="169"/>
      <c r="BZ45" s="169"/>
      <c r="CA45" s="169"/>
      <c r="CB45" s="169"/>
      <c r="CC45" s="169"/>
      <c r="CD45" s="169"/>
      <c r="CE45" s="169"/>
      <c r="CF45" s="169"/>
      <c r="CG45" s="169"/>
      <c r="CH45" s="169"/>
      <c r="CI45" s="169"/>
      <c r="CJ45" s="169"/>
      <c r="CK45" s="169"/>
      <c r="CL45" s="169"/>
      <c r="CM45" s="169"/>
      <c r="CN45" s="169"/>
      <c r="CO45" s="169"/>
      <c r="CP45" s="169"/>
      <c r="CQ45" s="169"/>
      <c r="CR45" s="169"/>
      <c r="CS45" s="169"/>
      <c r="CT45" s="169"/>
      <c r="CU45" s="169"/>
      <c r="CV45" s="169"/>
      <c r="CW45" s="169"/>
      <c r="CX45" s="169"/>
      <c r="CY45" s="169"/>
      <c r="CZ45" s="169"/>
      <c r="DA45" s="169"/>
      <c r="DB45" s="169"/>
      <c r="DC45" s="169"/>
      <c r="DD45" s="169"/>
      <c r="DE45" s="169"/>
      <c r="DF45" s="169"/>
      <c r="DG45" s="169"/>
      <c r="DH45" s="169"/>
      <c r="DI45" s="169"/>
      <c r="DJ45" s="169"/>
      <c r="DK45" s="169"/>
      <c r="DL45" s="169"/>
      <c r="DM45" s="169"/>
      <c r="DN45" s="169"/>
      <c r="DO45" s="169"/>
      <c r="DP45" s="169"/>
      <c r="DQ45" s="169"/>
      <c r="DR45" s="169"/>
      <c r="DS45" s="169"/>
      <c r="DT45" s="169"/>
      <c r="DU45" s="169"/>
      <c r="DV45" s="169"/>
      <c r="DW45" s="169"/>
      <c r="DX45" s="169"/>
      <c r="DY45" s="169"/>
      <c r="DZ45" s="169"/>
      <c r="EA45" s="169"/>
      <c r="EB45" s="169"/>
      <c r="EC45" s="169"/>
      <c r="ED45" s="169"/>
      <c r="EE45" s="169"/>
      <c r="EF45" s="169"/>
      <c r="EG45" s="169"/>
      <c r="EH45" s="169"/>
      <c r="EI45" s="169"/>
      <c r="EJ45" s="169"/>
      <c r="EK45" s="169"/>
      <c r="EL45" s="169"/>
      <c r="EM45" s="169"/>
      <c r="EN45" s="169"/>
      <c r="EO45" s="169"/>
      <c r="EP45" s="169"/>
      <c r="EQ45" s="169"/>
      <c r="ER45" s="169"/>
      <c r="ES45" s="169"/>
      <c r="ET45" s="169"/>
      <c r="EU45" s="169"/>
      <c r="EV45" s="169"/>
      <c r="EW45" s="169"/>
      <c r="EX45" s="169"/>
      <c r="EY45" s="169"/>
      <c r="EZ45" s="169"/>
      <c r="FA45" s="169"/>
      <c r="FB45" s="169"/>
      <c r="FC45" s="169"/>
      <c r="FD45" s="169"/>
      <c r="FE45" s="169"/>
      <c r="FF45" s="169"/>
      <c r="FG45" s="169"/>
      <c r="FH45" s="169"/>
      <c r="FI45" s="169"/>
      <c r="FJ45" s="169"/>
      <c r="FK45" s="169"/>
      <c r="FL45" s="169"/>
      <c r="FM45" s="169"/>
      <c r="FN45" s="169"/>
      <c r="FO45" s="169"/>
      <c r="FP45" s="169"/>
      <c r="FQ45" s="169"/>
      <c r="FR45" s="169"/>
      <c r="FS45" s="169"/>
      <c r="FT45" s="169"/>
      <c r="FU45" s="169"/>
      <c r="FV45" s="169"/>
      <c r="FW45" s="169"/>
      <c r="FX45" s="169"/>
      <c r="FY45" s="169"/>
      <c r="FZ45" s="169"/>
      <c r="GA45" s="169"/>
      <c r="GB45" s="169"/>
      <c r="GC45" s="169"/>
    </row>
    <row r="46" spans="1:185">
      <c r="A46" s="155"/>
      <c r="B46" s="157">
        <v>0.19600000000000001</v>
      </c>
      <c r="C46" s="232">
        <v>0</v>
      </c>
      <c r="E46" s="209"/>
      <c r="G46" s="233"/>
      <c r="H46" s="208"/>
      <c r="I46" s="233"/>
      <c r="J46" s="208"/>
      <c r="K46" s="234"/>
      <c r="L46" s="208"/>
      <c r="M46" s="227"/>
      <c r="N46" s="218"/>
      <c r="P46" s="235" t="s">
        <v>48</v>
      </c>
      <c r="S46" s="228"/>
      <c r="T46" s="228" t="e">
        <f>(U45-T45)/(U44-T44)</f>
        <v>#DIV/0!</v>
      </c>
      <c r="U46" s="228" t="e">
        <f>(V45-U45)/(V44-U44)</f>
        <v>#DIV/0!</v>
      </c>
      <c r="V46" s="228" t="e">
        <f>(W45-V45)/(W44-V44)</f>
        <v>#DIV/0!</v>
      </c>
      <c r="W46" s="228" t="e">
        <f>(X45-W45)/(X44-W44)</f>
        <v>#DIV/0!</v>
      </c>
      <c r="X46" s="228" t="e">
        <f>(Y45-X45)/(Y44-X44)</f>
        <v>#DIV/0!</v>
      </c>
      <c r="Y46" s="228" t="e">
        <f>(Z45-Y45)/(T3_LI-Y44)</f>
        <v>#DIV/0!</v>
      </c>
      <c r="Z46" s="228">
        <f>(AA45-Z45)/(AA44-T3_LI)</f>
        <v>0</v>
      </c>
      <c r="AA46" s="229"/>
      <c r="BF46" s="166"/>
      <c r="BG46" s="166"/>
      <c r="BH46" s="167"/>
      <c r="BM46" s="168"/>
      <c r="BN46" s="169"/>
      <c r="BO46" s="169"/>
      <c r="BP46" s="169"/>
      <c r="BQ46" s="169"/>
      <c r="BR46" s="169"/>
      <c r="BS46" s="169"/>
      <c r="BT46" s="169"/>
      <c r="BU46" s="169"/>
      <c r="BV46" s="169"/>
      <c r="BW46" s="169"/>
      <c r="BX46" s="169"/>
      <c r="BY46" s="169"/>
      <c r="BZ46" s="169"/>
      <c r="CA46" s="169"/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  <c r="CN46" s="169"/>
      <c r="CO46" s="169"/>
      <c r="CP46" s="169"/>
      <c r="CQ46" s="169"/>
      <c r="CR46" s="169"/>
      <c r="CS46" s="169"/>
      <c r="CT46" s="169"/>
      <c r="CU46" s="169"/>
      <c r="CV46" s="169"/>
      <c r="CW46" s="169"/>
      <c r="CX46" s="169"/>
      <c r="CY46" s="169"/>
      <c r="CZ46" s="169"/>
      <c r="DA46" s="169"/>
      <c r="DB46" s="169"/>
      <c r="DC46" s="169"/>
      <c r="DD46" s="169"/>
      <c r="DE46" s="169"/>
      <c r="DF46" s="169"/>
      <c r="DG46" s="169"/>
      <c r="DH46" s="169"/>
      <c r="DI46" s="169"/>
      <c r="DJ46" s="169"/>
      <c r="DK46" s="169"/>
      <c r="DL46" s="169"/>
      <c r="DM46" s="169"/>
      <c r="DN46" s="169"/>
      <c r="DO46" s="169"/>
      <c r="DP46" s="169"/>
      <c r="DQ46" s="169"/>
      <c r="DR46" s="169"/>
      <c r="DS46" s="169"/>
      <c r="DT46" s="169"/>
      <c r="DU46" s="169"/>
      <c r="DV46" s="169"/>
      <c r="DW46" s="169"/>
      <c r="DX46" s="169"/>
      <c r="DY46" s="169"/>
      <c r="DZ46" s="169"/>
      <c r="EA46" s="169"/>
      <c r="EB46" s="169"/>
      <c r="EC46" s="169"/>
      <c r="ED46" s="169"/>
      <c r="EE46" s="169"/>
      <c r="EF46" s="169"/>
      <c r="EG46" s="169"/>
      <c r="EH46" s="169"/>
      <c r="EI46" s="169"/>
      <c r="EJ46" s="169"/>
      <c r="EK46" s="169"/>
      <c r="EL46" s="169"/>
      <c r="EM46" s="169"/>
      <c r="EN46" s="169"/>
      <c r="EO46" s="169"/>
      <c r="EP46" s="169"/>
      <c r="EQ46" s="169"/>
      <c r="ER46" s="169"/>
      <c r="ES46" s="169"/>
      <c r="ET46" s="169"/>
      <c r="EU46" s="169"/>
      <c r="EV46" s="169"/>
      <c r="EW46" s="169"/>
      <c r="EX46" s="169"/>
      <c r="EY46" s="169"/>
      <c r="EZ46" s="169"/>
      <c r="FA46" s="169"/>
      <c r="FB46" s="169"/>
      <c r="FC46" s="169"/>
      <c r="FD46" s="169"/>
      <c r="FE46" s="169"/>
      <c r="FF46" s="169"/>
      <c r="FG46" s="169"/>
      <c r="FH46" s="169"/>
      <c r="FI46" s="169"/>
      <c r="FJ46" s="169"/>
      <c r="FK46" s="169"/>
      <c r="FL46" s="169"/>
      <c r="FM46" s="169"/>
      <c r="FN46" s="169"/>
      <c r="FO46" s="169"/>
      <c r="FP46" s="169"/>
      <c r="FQ46" s="169"/>
      <c r="FR46" s="169"/>
      <c r="FS46" s="169"/>
      <c r="FT46" s="169"/>
      <c r="FU46" s="169"/>
      <c r="FV46" s="169"/>
      <c r="FW46" s="169"/>
      <c r="FX46" s="169"/>
      <c r="FY46" s="169"/>
      <c r="FZ46" s="169"/>
      <c r="GA46" s="169"/>
      <c r="GB46" s="169"/>
      <c r="GC46" s="169"/>
    </row>
    <row r="47" spans="1:185">
      <c r="A47" s="155"/>
      <c r="B47" s="156"/>
      <c r="C47" s="157"/>
      <c r="D47" s="152"/>
      <c r="E47" s="208"/>
      <c r="F47" s="208"/>
      <c r="G47" s="208"/>
      <c r="H47" s="208"/>
      <c r="I47" s="208"/>
      <c r="J47" s="208"/>
      <c r="K47" s="208"/>
      <c r="L47" s="208"/>
      <c r="M47" s="227"/>
      <c r="N47" s="218"/>
      <c r="P47" s="236" t="s">
        <v>49</v>
      </c>
      <c r="Q47" s="237"/>
      <c r="R47" s="237"/>
      <c r="S47" s="238"/>
      <c r="T47" s="238">
        <f t="shared" ref="T47:AA47" si="34">T3_CAF_LOTS*T3_TAUX_APF</f>
        <v>0</v>
      </c>
      <c r="U47" s="238">
        <f t="shared" si="34"/>
        <v>0</v>
      </c>
      <c r="V47" s="238">
        <f t="shared" si="34"/>
        <v>0</v>
      </c>
      <c r="W47" s="238">
        <f t="shared" si="34"/>
        <v>0</v>
      </c>
      <c r="X47" s="238">
        <f t="shared" si="34"/>
        <v>0</v>
      </c>
      <c r="Y47" s="238">
        <f t="shared" si="34"/>
        <v>0</v>
      </c>
      <c r="Z47" s="238">
        <f t="shared" si="34"/>
        <v>0</v>
      </c>
      <c r="AA47" s="238">
        <f t="shared" si="34"/>
        <v>0</v>
      </c>
      <c r="AC47" s="228"/>
      <c r="AD47" s="228"/>
      <c r="AE47" s="228"/>
      <c r="BF47" s="166"/>
      <c r="BG47" s="166"/>
      <c r="BH47" s="167"/>
      <c r="BM47" s="168"/>
      <c r="BN47" s="169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  <c r="CP47" s="169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69"/>
      <c r="DC47" s="169"/>
      <c r="DD47" s="169"/>
      <c r="DE47" s="169"/>
      <c r="DF47" s="169"/>
      <c r="DG47" s="169"/>
      <c r="DH47" s="169"/>
      <c r="DI47" s="169"/>
      <c r="DJ47" s="169"/>
      <c r="DK47" s="169"/>
      <c r="DL47" s="169"/>
      <c r="DM47" s="169"/>
      <c r="DN47" s="169"/>
      <c r="DO47" s="169"/>
      <c r="DP47" s="169"/>
      <c r="DQ47" s="169"/>
      <c r="DR47" s="169"/>
      <c r="DS47" s="169"/>
      <c r="DT47" s="169"/>
      <c r="DU47" s="169"/>
      <c r="DV47" s="169"/>
      <c r="DW47" s="169"/>
      <c r="DX47" s="169"/>
      <c r="DY47" s="169"/>
      <c r="DZ47" s="169"/>
      <c r="EA47" s="169"/>
      <c r="EB47" s="169"/>
      <c r="EC47" s="169"/>
      <c r="ED47" s="169"/>
      <c r="EE47" s="169"/>
      <c r="EF47" s="169"/>
      <c r="EG47" s="169"/>
      <c r="EH47" s="169"/>
      <c r="EI47" s="169"/>
      <c r="EJ47" s="169"/>
      <c r="EK47" s="169"/>
      <c r="EL47" s="169"/>
      <c r="EM47" s="169"/>
      <c r="EN47" s="169"/>
      <c r="EO47" s="169"/>
      <c r="EP47" s="169"/>
      <c r="EQ47" s="169"/>
      <c r="ER47" s="169"/>
      <c r="ES47" s="169"/>
      <c r="ET47" s="169"/>
      <c r="EU47" s="169"/>
      <c r="EV47" s="169"/>
      <c r="EW47" s="169"/>
      <c r="EX47" s="169"/>
      <c r="EY47" s="169"/>
      <c r="EZ47" s="169"/>
      <c r="FA47" s="169"/>
      <c r="FB47" s="169"/>
      <c r="FC47" s="169"/>
      <c r="FD47" s="169"/>
      <c r="FE47" s="169"/>
      <c r="FF47" s="169"/>
      <c r="FG47" s="169"/>
      <c r="FH47" s="169"/>
      <c r="FI47" s="169"/>
      <c r="FJ47" s="169"/>
      <c r="FK47" s="169"/>
      <c r="FL47" s="169"/>
      <c r="FM47" s="169"/>
      <c r="FN47" s="169"/>
      <c r="FO47" s="169"/>
      <c r="FP47" s="169"/>
      <c r="FQ47" s="169"/>
      <c r="FR47" s="169"/>
      <c r="FS47" s="169"/>
      <c r="FT47" s="169"/>
      <c r="FU47" s="169"/>
      <c r="FV47" s="169"/>
      <c r="FW47" s="169"/>
      <c r="FX47" s="169"/>
      <c r="FY47" s="169"/>
      <c r="FZ47" s="169"/>
      <c r="GA47" s="169"/>
      <c r="GB47" s="169"/>
      <c r="GC47" s="169"/>
    </row>
    <row r="48" spans="1:185">
      <c r="A48" s="155"/>
      <c r="B48" s="156"/>
      <c r="C48" s="157"/>
      <c r="D48" s="240"/>
      <c r="E48" s="241"/>
      <c r="F48" s="241"/>
      <c r="G48" s="241"/>
      <c r="H48" s="241"/>
      <c r="I48" s="241"/>
      <c r="J48" s="241"/>
      <c r="K48" s="241"/>
      <c r="L48" s="241"/>
      <c r="M48" s="242"/>
      <c r="N48" s="218"/>
      <c r="P48" s="219" t="s">
        <v>38</v>
      </c>
      <c r="Q48" s="212"/>
      <c r="R48" s="197" t="str">
        <f>E27</f>
        <v>% APF</v>
      </c>
      <c r="S48" s="192"/>
      <c r="T48" s="198">
        <f t="shared" ref="T48:AA48" si="35">IF(T4_CODE_ENC="O",0,TAUX_APF)</f>
        <v>0.35</v>
      </c>
      <c r="U48" s="198">
        <f t="shared" si="35"/>
        <v>0.55000000000000004</v>
      </c>
      <c r="V48" s="198">
        <f t="shared" si="35"/>
        <v>0.65</v>
      </c>
      <c r="W48" s="198">
        <f t="shared" si="35"/>
        <v>0.7</v>
      </c>
      <c r="X48" s="198">
        <f t="shared" si="35"/>
        <v>0.85</v>
      </c>
      <c r="Y48" s="198">
        <f t="shared" si="35"/>
        <v>0.9</v>
      </c>
      <c r="Z48" s="198">
        <f t="shared" si="35"/>
        <v>1</v>
      </c>
      <c r="AA48" s="198">
        <f t="shared" si="35"/>
        <v>1</v>
      </c>
      <c r="AC48" s="228"/>
      <c r="AD48" s="228"/>
      <c r="AE48" s="228"/>
      <c r="BF48" s="166"/>
      <c r="BG48" s="166"/>
      <c r="BH48" s="167"/>
      <c r="BM48" s="168"/>
      <c r="BN48" s="169"/>
      <c r="BO48" s="169"/>
      <c r="BP48" s="169"/>
      <c r="BQ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  <c r="CN48" s="169"/>
      <c r="CO48" s="169"/>
      <c r="CP48" s="169"/>
      <c r="CQ48" s="169"/>
      <c r="CR48" s="169"/>
      <c r="CS48" s="169"/>
      <c r="CT48" s="169"/>
      <c r="CU48" s="169"/>
      <c r="CV48" s="169"/>
      <c r="CW48" s="169"/>
      <c r="CX48" s="169"/>
      <c r="CY48" s="169"/>
      <c r="CZ48" s="169"/>
      <c r="DA48" s="169"/>
      <c r="DB48" s="169"/>
      <c r="DC48" s="169"/>
      <c r="DD48" s="169"/>
      <c r="DE48" s="169"/>
      <c r="DF48" s="169"/>
      <c r="DG48" s="169"/>
      <c r="DH48" s="169"/>
      <c r="DI48" s="169"/>
      <c r="DJ48" s="169"/>
      <c r="DK48" s="169"/>
      <c r="DL48" s="169"/>
      <c r="DM48" s="169"/>
      <c r="DN48" s="169"/>
      <c r="DO48" s="169"/>
      <c r="DP48" s="169"/>
      <c r="DQ48" s="169"/>
      <c r="DR48" s="169"/>
      <c r="DS48" s="169"/>
      <c r="DT48" s="169"/>
      <c r="DU48" s="169"/>
      <c r="DV48" s="169"/>
      <c r="DW48" s="169"/>
      <c r="DX48" s="169"/>
      <c r="DY48" s="169"/>
      <c r="DZ48" s="169"/>
      <c r="EA48" s="169"/>
      <c r="EB48" s="169"/>
      <c r="EC48" s="169"/>
      <c r="ED48" s="169"/>
      <c r="EE48" s="169"/>
      <c r="EF48" s="169"/>
      <c r="EG48" s="169"/>
      <c r="EH48" s="169"/>
      <c r="EI48" s="169"/>
      <c r="EJ48" s="169"/>
      <c r="EK48" s="169"/>
      <c r="EL48" s="169"/>
      <c r="EM48" s="169"/>
      <c r="EN48" s="169"/>
      <c r="EO48" s="169"/>
      <c r="EP48" s="169"/>
      <c r="EQ48" s="169"/>
      <c r="ER48" s="169"/>
      <c r="ES48" s="169"/>
      <c r="ET48" s="169"/>
      <c r="EU48" s="169"/>
      <c r="EV48" s="169"/>
      <c r="EW48" s="169"/>
      <c r="EX48" s="169"/>
      <c r="EY48" s="169"/>
      <c r="EZ48" s="169"/>
      <c r="FA48" s="169"/>
      <c r="FB48" s="169"/>
      <c r="FC48" s="169"/>
      <c r="FD48" s="169"/>
      <c r="FE48" s="169"/>
      <c r="FF48" s="169"/>
      <c r="FG48" s="169"/>
      <c r="FH48" s="169"/>
      <c r="FI48" s="169"/>
      <c r="FJ48" s="169"/>
      <c r="FK48" s="169"/>
      <c r="FL48" s="169"/>
      <c r="FM48" s="169"/>
      <c r="FN48" s="169"/>
      <c r="FO48" s="169"/>
      <c r="FP48" s="169"/>
      <c r="FQ48" s="169"/>
      <c r="FR48" s="169"/>
      <c r="FS48" s="169"/>
      <c r="FT48" s="169"/>
      <c r="FU48" s="169"/>
      <c r="FV48" s="169"/>
      <c r="FW48" s="169"/>
      <c r="FX48" s="169"/>
      <c r="FY48" s="169"/>
      <c r="FZ48" s="169"/>
      <c r="GA48" s="169"/>
      <c r="GB48" s="169"/>
      <c r="GC48" s="169"/>
    </row>
    <row r="49" spans="1:185">
      <c r="A49" s="155" t="s">
        <v>54</v>
      </c>
      <c r="B49" s="156"/>
      <c r="C49" s="157">
        <v>0.19600000000000001</v>
      </c>
      <c r="D49" s="220">
        <v>0</v>
      </c>
      <c r="E49" s="221"/>
      <c r="F49" s="221"/>
      <c r="G49" s="221"/>
      <c r="H49" s="221"/>
      <c r="I49" s="221"/>
      <c r="J49" s="221"/>
      <c r="K49" s="221"/>
      <c r="L49" s="221"/>
      <c r="M49" s="222"/>
      <c r="N49" s="218"/>
      <c r="P49" s="223"/>
      <c r="Q49" s="183" t="e">
        <f>DATE(YEAR(DATE_DEBUT)-1,MONTH(DATE_DEBUT),DAY(DATE_DEBUT))</f>
        <v>#VALUE!</v>
      </c>
      <c r="R49" s="183">
        <f t="shared" ref="R49:Z49" si="36">E49</f>
        <v>0</v>
      </c>
      <c r="S49" s="183">
        <f t="shared" si="36"/>
        <v>0</v>
      </c>
      <c r="T49" s="183">
        <f t="shared" si="36"/>
        <v>0</v>
      </c>
      <c r="U49" s="183">
        <f t="shared" si="36"/>
        <v>0</v>
      </c>
      <c r="V49" s="183">
        <f t="shared" si="36"/>
        <v>0</v>
      </c>
      <c r="W49" s="183">
        <f t="shared" si="36"/>
        <v>0</v>
      </c>
      <c r="X49" s="183">
        <f t="shared" si="36"/>
        <v>0</v>
      </c>
      <c r="Y49" s="183">
        <f t="shared" si="36"/>
        <v>0</v>
      </c>
      <c r="Z49" s="183">
        <f t="shared" si="36"/>
        <v>0</v>
      </c>
      <c r="AA49" s="224">
        <f>DATE(YEAR(Z49),MONTH(Z49)+6,1)</f>
        <v>183</v>
      </c>
      <c r="AC49" s="209" t="s">
        <v>40</v>
      </c>
      <c r="AD49" s="225"/>
      <c r="AE49" s="226">
        <f>T4_LI-T4_DT+1</f>
        <v>1</v>
      </c>
      <c r="BF49" s="166">
        <f>D49</f>
        <v>0</v>
      </c>
      <c r="BG49" s="166">
        <f>ROUND(BF49*(1+C49),0)</f>
        <v>0</v>
      </c>
      <c r="BH49" s="167">
        <f>BG49-BF49</f>
        <v>0</v>
      </c>
      <c r="BM49" s="168" t="e">
        <f>HLOOKUP(BM$3-DEC_FRN,T4_CONST_TABLE,2)+HLOOKUP(BM$3-DEC_FRN,T4_CONST_TABLE,3)*((BM$3-DEC_FRN-HLOOKUP(BM$3-DEC_FRN,T4_CONST_TABLE,1))+IF(BM$3-DEC_FRN&gt;=T4_LI,1,0))</f>
        <v>#VALUE!</v>
      </c>
      <c r="BN49" s="169" t="e">
        <f>HLOOKUP(BN$3-DEC_FRN,T4_CONST_TABLE,2)+HLOOKUP(BN$3-DEC_FRN,T4_CONST_TABLE,3)*((BN$3-DEC_FRN-HLOOKUP(BN$3-DEC_FRN,T4_CONST_TABLE,1))+IF(BN$3-DEC_FRN&gt;=T4_LI,1,0))</f>
        <v>#VALUE!</v>
      </c>
      <c r="BO49" s="169"/>
      <c r="BP49" s="169"/>
      <c r="BQ49" s="169"/>
      <c r="BR49" s="169"/>
      <c r="BS49" s="169"/>
      <c r="BT49" s="169"/>
      <c r="BU49" s="169"/>
      <c r="BV49" s="169"/>
      <c r="BW49" s="169"/>
      <c r="BX49" s="169"/>
      <c r="BY49" s="169"/>
      <c r="BZ49" s="169"/>
      <c r="CA49" s="169"/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  <c r="CN49" s="169"/>
      <c r="CO49" s="169"/>
      <c r="CP49" s="169"/>
      <c r="CQ49" s="169"/>
      <c r="CR49" s="169"/>
      <c r="CS49" s="169"/>
      <c r="CT49" s="169"/>
      <c r="CU49" s="169"/>
      <c r="CV49" s="169"/>
      <c r="CW49" s="169"/>
      <c r="CX49" s="169"/>
      <c r="CY49" s="169"/>
      <c r="CZ49" s="169"/>
      <c r="DA49" s="169"/>
      <c r="DB49" s="169"/>
      <c r="DC49" s="169"/>
      <c r="DD49" s="169"/>
      <c r="DE49" s="169"/>
      <c r="DF49" s="169"/>
      <c r="DG49" s="169"/>
      <c r="DH49" s="169"/>
      <c r="DI49" s="169"/>
      <c r="DJ49" s="169"/>
      <c r="DK49" s="169"/>
      <c r="DL49" s="169"/>
      <c r="DM49" s="169"/>
      <c r="DN49" s="169"/>
      <c r="DO49" s="169"/>
      <c r="DP49" s="169"/>
      <c r="DQ49" s="169"/>
      <c r="DR49" s="169"/>
      <c r="DS49" s="169"/>
      <c r="DT49" s="169"/>
      <c r="DU49" s="169"/>
      <c r="DV49" s="169"/>
      <c r="DW49" s="169"/>
      <c r="DX49" s="169"/>
      <c r="DY49" s="169"/>
      <c r="DZ49" s="169"/>
      <c r="EA49" s="169"/>
      <c r="EB49" s="169"/>
      <c r="EC49" s="169"/>
      <c r="ED49" s="169"/>
      <c r="EE49" s="169"/>
      <c r="EF49" s="169"/>
      <c r="EG49" s="169"/>
      <c r="EH49" s="169"/>
      <c r="EI49" s="169"/>
      <c r="EJ49" s="169"/>
      <c r="EK49" s="169"/>
      <c r="EL49" s="169"/>
      <c r="EM49" s="169"/>
      <c r="EN49" s="169"/>
      <c r="EO49" s="169"/>
      <c r="EP49" s="169"/>
      <c r="EQ49" s="169"/>
      <c r="ER49" s="169"/>
      <c r="ES49" s="169"/>
      <c r="ET49" s="169"/>
      <c r="EU49" s="169"/>
      <c r="EV49" s="169"/>
      <c r="EW49" s="169"/>
      <c r="EX49" s="169"/>
      <c r="EY49" s="169"/>
      <c r="EZ49" s="169"/>
      <c r="FA49" s="169"/>
      <c r="FB49" s="169"/>
      <c r="FC49" s="169"/>
      <c r="FD49" s="169"/>
      <c r="FE49" s="169"/>
      <c r="FF49" s="169"/>
      <c r="FG49" s="169"/>
      <c r="FH49" s="169"/>
      <c r="FI49" s="169"/>
      <c r="FJ49" s="169"/>
      <c r="FK49" s="169"/>
      <c r="FL49" s="169"/>
      <c r="FM49" s="169"/>
      <c r="FN49" s="169"/>
      <c r="FO49" s="169"/>
      <c r="FP49" s="169"/>
      <c r="FQ49" s="169"/>
      <c r="FR49" s="169"/>
      <c r="FS49" s="169"/>
      <c r="FT49" s="169"/>
      <c r="FU49" s="169"/>
      <c r="FV49" s="169"/>
      <c r="FW49" s="169"/>
      <c r="FX49" s="169"/>
      <c r="FY49" s="169"/>
      <c r="FZ49" s="169"/>
      <c r="GA49" s="169"/>
      <c r="GB49" s="169"/>
      <c r="GC49" s="169"/>
    </row>
    <row r="50" spans="1:185">
      <c r="A50" s="155"/>
      <c r="B50" s="156"/>
      <c r="C50" s="157"/>
      <c r="D50" s="152"/>
      <c r="E50" s="208"/>
      <c r="F50" s="208"/>
      <c r="G50" s="208"/>
      <c r="H50" s="208"/>
      <c r="I50" s="208"/>
      <c r="J50" s="208"/>
      <c r="K50" s="208"/>
      <c r="L50" s="208"/>
      <c r="M50" s="227"/>
      <c r="N50" s="218"/>
      <c r="P50" s="223"/>
      <c r="Q50" s="228" t="e">
        <f t="shared" ref="Q50:AA50" si="37">YEAR(Q49)*12+MONTH(Q49)</f>
        <v>#VALUE!</v>
      </c>
      <c r="R50" s="228">
        <f t="shared" si="37"/>
        <v>22801</v>
      </c>
      <c r="S50" s="228">
        <f t="shared" si="37"/>
        <v>22801</v>
      </c>
      <c r="T50" s="228">
        <f t="shared" si="37"/>
        <v>22801</v>
      </c>
      <c r="U50" s="228">
        <f t="shared" si="37"/>
        <v>22801</v>
      </c>
      <c r="V50" s="228">
        <f t="shared" si="37"/>
        <v>22801</v>
      </c>
      <c r="W50" s="228">
        <f t="shared" si="37"/>
        <v>22801</v>
      </c>
      <c r="X50" s="228">
        <f t="shared" si="37"/>
        <v>22801</v>
      </c>
      <c r="Y50" s="228">
        <f t="shared" si="37"/>
        <v>22801</v>
      </c>
      <c r="Z50" s="228">
        <f t="shared" si="37"/>
        <v>22801</v>
      </c>
      <c r="AA50" s="229">
        <f t="shared" si="37"/>
        <v>22807</v>
      </c>
      <c r="AC50" s="228"/>
      <c r="AD50" s="228"/>
      <c r="AE50" s="228"/>
      <c r="BF50" s="166"/>
      <c r="BG50" s="166"/>
      <c r="BH50" s="167"/>
      <c r="BM50" s="168"/>
      <c r="BN50" s="169"/>
      <c r="BO50" s="169"/>
      <c r="BP50" s="169"/>
      <c r="BQ50" s="169"/>
      <c r="BR50" s="169"/>
      <c r="BS50" s="169"/>
      <c r="BT50" s="169"/>
      <c r="BU50" s="169"/>
      <c r="BV50" s="169"/>
      <c r="BW50" s="169"/>
      <c r="BX50" s="169"/>
      <c r="BY50" s="169"/>
      <c r="BZ50" s="169"/>
      <c r="CA50" s="169"/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  <c r="CN50" s="169"/>
      <c r="CO50" s="169"/>
      <c r="CP50" s="169"/>
      <c r="CQ50" s="169"/>
      <c r="CR50" s="169"/>
      <c r="CS50" s="169"/>
      <c r="CT50" s="169"/>
      <c r="CU50" s="169"/>
      <c r="CV50" s="169"/>
      <c r="CW50" s="169"/>
      <c r="CX50" s="169"/>
      <c r="CY50" s="169"/>
      <c r="CZ50" s="169"/>
      <c r="DA50" s="169"/>
      <c r="DB50" s="169"/>
      <c r="DC50" s="169"/>
      <c r="DD50" s="169"/>
      <c r="DE50" s="169"/>
      <c r="DF50" s="169"/>
      <c r="DG50" s="169"/>
      <c r="DH50" s="169"/>
      <c r="DI50" s="169"/>
      <c r="DJ50" s="169"/>
      <c r="DK50" s="169"/>
      <c r="DL50" s="169"/>
      <c r="DM50" s="169"/>
      <c r="DN50" s="169"/>
      <c r="DO50" s="169"/>
      <c r="DP50" s="169"/>
      <c r="DQ50" s="169"/>
      <c r="DR50" s="169"/>
      <c r="DS50" s="169"/>
      <c r="DT50" s="169"/>
      <c r="DU50" s="169"/>
      <c r="DV50" s="169"/>
      <c r="DW50" s="169"/>
      <c r="DX50" s="169"/>
      <c r="DY50" s="169"/>
      <c r="DZ50" s="169"/>
      <c r="EA50" s="169"/>
      <c r="EB50" s="169"/>
      <c r="EC50" s="169"/>
      <c r="ED50" s="169"/>
      <c r="EE50" s="169"/>
      <c r="EF50" s="169"/>
      <c r="EG50" s="169"/>
      <c r="EH50" s="169"/>
      <c r="EI50" s="169"/>
      <c r="EJ50" s="169"/>
      <c r="EK50" s="169"/>
      <c r="EL50" s="169"/>
      <c r="EM50" s="169"/>
      <c r="EN50" s="169"/>
      <c r="EO50" s="169"/>
      <c r="EP50" s="169"/>
      <c r="EQ50" s="169"/>
      <c r="ER50" s="169"/>
      <c r="ES50" s="169"/>
      <c r="ET50" s="169"/>
      <c r="EU50" s="169"/>
      <c r="EV50" s="169"/>
      <c r="EW50" s="169"/>
      <c r="EX50" s="169"/>
      <c r="EY50" s="169"/>
      <c r="EZ50" s="169"/>
      <c r="FA50" s="169"/>
      <c r="FB50" s="169"/>
      <c r="FC50" s="169"/>
      <c r="FD50" s="169"/>
      <c r="FE50" s="169"/>
      <c r="FF50" s="169"/>
      <c r="FG50" s="169"/>
      <c r="FH50" s="169"/>
      <c r="FI50" s="169"/>
      <c r="FJ50" s="169"/>
      <c r="FK50" s="169"/>
      <c r="FL50" s="169"/>
      <c r="FM50" s="169"/>
      <c r="FN50" s="169"/>
      <c r="FO50" s="169"/>
      <c r="FP50" s="169"/>
      <c r="FQ50" s="169"/>
      <c r="FR50" s="169"/>
      <c r="FS50" s="169"/>
      <c r="FT50" s="169"/>
      <c r="FU50" s="169"/>
      <c r="FV50" s="169"/>
      <c r="FW50" s="169"/>
      <c r="FX50" s="169"/>
      <c r="FY50" s="169"/>
      <c r="FZ50" s="169"/>
      <c r="GA50" s="169"/>
      <c r="GB50" s="169"/>
      <c r="GC50" s="169"/>
    </row>
    <row r="51" spans="1:185">
      <c r="A51" s="155"/>
      <c r="B51" s="156"/>
      <c r="C51" s="231" t="s">
        <v>42</v>
      </c>
      <c r="E51" s="209" t="s">
        <v>43</v>
      </c>
      <c r="G51" s="209" t="s">
        <v>44</v>
      </c>
      <c r="I51" s="209" t="s">
        <v>45</v>
      </c>
      <c r="K51" s="217" t="s">
        <v>46</v>
      </c>
      <c r="M51" s="227"/>
      <c r="N51" s="218"/>
      <c r="O51" s="131" t="s">
        <v>55</v>
      </c>
      <c r="P51" s="223" t="s">
        <v>47</v>
      </c>
      <c r="Q51" s="228"/>
      <c r="R51" s="228"/>
      <c r="S51" s="228"/>
      <c r="T51" s="228">
        <f t="shared" ref="T51:Z51" si="38">TAUX_TRVX*T4_CONST_TTC</f>
        <v>0</v>
      </c>
      <c r="U51" s="228">
        <f t="shared" si="38"/>
        <v>0</v>
      </c>
      <c r="V51" s="228">
        <f t="shared" si="38"/>
        <v>0</v>
      </c>
      <c r="W51" s="228">
        <f t="shared" si="38"/>
        <v>0</v>
      </c>
      <c r="X51" s="228">
        <f t="shared" si="38"/>
        <v>0</v>
      </c>
      <c r="Y51" s="228">
        <f t="shared" si="38"/>
        <v>0</v>
      </c>
      <c r="Z51" s="228">
        <f t="shared" si="38"/>
        <v>0</v>
      </c>
      <c r="AA51" s="229">
        <f>AA$28*T4_CONST_TTC</f>
        <v>0</v>
      </c>
      <c r="AC51" s="228"/>
      <c r="AD51" s="228"/>
      <c r="AE51" s="228"/>
      <c r="BF51" s="166"/>
      <c r="BG51" s="166"/>
      <c r="BH51" s="167"/>
      <c r="BM51" s="168"/>
      <c r="BN51" s="169"/>
      <c r="BO51" s="169"/>
      <c r="BP51" s="169"/>
      <c r="BQ51" s="169"/>
      <c r="BR51" s="169"/>
      <c r="BS51" s="169"/>
      <c r="BT51" s="169"/>
      <c r="BU51" s="169"/>
      <c r="BV51" s="169"/>
      <c r="BW51" s="169"/>
      <c r="BX51" s="169"/>
      <c r="BY51" s="169"/>
      <c r="BZ51" s="169"/>
      <c r="CA51" s="169"/>
      <c r="CB51" s="169"/>
      <c r="CC51" s="169"/>
      <c r="CD51" s="169"/>
      <c r="CE51" s="169"/>
      <c r="CF51" s="169"/>
      <c r="CG51" s="169"/>
      <c r="CH51" s="169"/>
      <c r="CI51" s="169"/>
      <c r="CJ51" s="169"/>
      <c r="CK51" s="169"/>
      <c r="CL51" s="169"/>
      <c r="CM51" s="169"/>
      <c r="CN51" s="169"/>
      <c r="CO51" s="169"/>
      <c r="CP51" s="169"/>
      <c r="CQ51" s="169"/>
      <c r="CR51" s="169"/>
      <c r="CS51" s="169"/>
      <c r="CT51" s="169"/>
      <c r="CU51" s="169"/>
      <c r="CV51" s="169"/>
      <c r="CW51" s="169"/>
      <c r="CX51" s="169"/>
      <c r="CY51" s="169"/>
      <c r="CZ51" s="169"/>
      <c r="DA51" s="169"/>
      <c r="DB51" s="169"/>
      <c r="DC51" s="169"/>
      <c r="DD51" s="169"/>
      <c r="DE51" s="169"/>
      <c r="DF51" s="169"/>
      <c r="DG51" s="169"/>
      <c r="DH51" s="169"/>
      <c r="DI51" s="169"/>
      <c r="DJ51" s="169"/>
      <c r="DK51" s="169"/>
      <c r="DL51" s="169"/>
      <c r="DM51" s="169"/>
      <c r="DN51" s="169"/>
      <c r="DO51" s="169"/>
      <c r="DP51" s="169"/>
      <c r="DQ51" s="169"/>
      <c r="DR51" s="169"/>
      <c r="DS51" s="169"/>
      <c r="DT51" s="169"/>
      <c r="DU51" s="169"/>
      <c r="DV51" s="169"/>
      <c r="DW51" s="169"/>
      <c r="DX51" s="169"/>
      <c r="DY51" s="169"/>
      <c r="DZ51" s="169"/>
      <c r="EA51" s="169"/>
      <c r="EB51" s="169"/>
      <c r="EC51" s="169"/>
      <c r="ED51" s="169"/>
      <c r="EE51" s="169"/>
      <c r="EF51" s="169"/>
      <c r="EG51" s="169"/>
      <c r="EH51" s="169"/>
      <c r="EI51" s="169"/>
      <c r="EJ51" s="169"/>
      <c r="EK51" s="169"/>
      <c r="EL51" s="169"/>
      <c r="EM51" s="169"/>
      <c r="EN51" s="169"/>
      <c r="EO51" s="169"/>
      <c r="EP51" s="169"/>
      <c r="EQ51" s="169"/>
      <c r="ER51" s="169"/>
      <c r="ES51" s="169"/>
      <c r="ET51" s="169"/>
      <c r="EU51" s="169"/>
      <c r="EV51" s="169"/>
      <c r="EW51" s="169"/>
      <c r="EX51" s="169"/>
      <c r="EY51" s="169"/>
      <c r="EZ51" s="169"/>
      <c r="FA51" s="169"/>
      <c r="FB51" s="169"/>
      <c r="FC51" s="169"/>
      <c r="FD51" s="169"/>
      <c r="FE51" s="169"/>
      <c r="FF51" s="169"/>
      <c r="FG51" s="169"/>
      <c r="FH51" s="169"/>
      <c r="FI51" s="169"/>
      <c r="FJ51" s="169"/>
      <c r="FK51" s="169"/>
      <c r="FL51" s="169"/>
      <c r="FM51" s="169"/>
      <c r="FN51" s="169"/>
      <c r="FO51" s="169"/>
      <c r="FP51" s="169"/>
      <c r="FQ51" s="169"/>
      <c r="FR51" s="169"/>
      <c r="FS51" s="169"/>
      <c r="FT51" s="169"/>
      <c r="FU51" s="169"/>
      <c r="FV51" s="169"/>
      <c r="FW51" s="169"/>
      <c r="FX51" s="169"/>
      <c r="FY51" s="169"/>
      <c r="FZ51" s="169"/>
      <c r="GA51" s="169"/>
      <c r="GB51" s="169"/>
      <c r="GC51" s="169"/>
    </row>
    <row r="52" spans="1:185">
      <c r="A52" s="155"/>
      <c r="B52" s="157">
        <v>0.19600000000000001</v>
      </c>
      <c r="C52" s="232">
        <v>0</v>
      </c>
      <c r="E52" s="209"/>
      <c r="G52" s="233"/>
      <c r="H52" s="208"/>
      <c r="I52" s="233"/>
      <c r="J52" s="208"/>
      <c r="K52" s="234"/>
      <c r="L52" s="208"/>
      <c r="M52" s="227"/>
      <c r="N52" s="218"/>
      <c r="P52" s="235" t="s">
        <v>48</v>
      </c>
      <c r="S52" s="228"/>
      <c r="T52" s="228" t="e">
        <f>(U51-T51)/(U50-T50)</f>
        <v>#DIV/0!</v>
      </c>
      <c r="U52" s="228" t="e">
        <f>(V51-U51)/(V50-U50)</f>
        <v>#DIV/0!</v>
      </c>
      <c r="V52" s="228" t="e">
        <f>(W51-V51)/(W50-V50)</f>
        <v>#DIV/0!</v>
      </c>
      <c r="W52" s="228" t="e">
        <f>(X51-W51)/(X50-W50)</f>
        <v>#DIV/0!</v>
      </c>
      <c r="X52" s="228" t="e">
        <f>(Y51-X51)/(Y50-X50)</f>
        <v>#DIV/0!</v>
      </c>
      <c r="Y52" s="228" t="e">
        <f>(Z51-Y51)/(T4_LI-Y50)</f>
        <v>#DIV/0!</v>
      </c>
      <c r="Z52" s="228">
        <f>(AA51-Z51)/(AA50-T4_LI)</f>
        <v>0</v>
      </c>
      <c r="AA52" s="229"/>
      <c r="AC52" s="228"/>
      <c r="AD52" s="228"/>
      <c r="AE52" s="228"/>
      <c r="BF52" s="166"/>
      <c r="BG52" s="166"/>
      <c r="BH52" s="167"/>
      <c r="BM52" s="168"/>
      <c r="BN52" s="169"/>
      <c r="BO52" s="169"/>
      <c r="BP52" s="169"/>
      <c r="BQ52" s="169"/>
      <c r="BR52" s="169"/>
      <c r="BS52" s="169"/>
      <c r="BT52" s="169"/>
      <c r="BU52" s="169"/>
      <c r="BV52" s="169"/>
      <c r="BW52" s="169"/>
      <c r="BX52" s="169"/>
      <c r="BY52" s="169"/>
      <c r="BZ52" s="169"/>
      <c r="CA52" s="169"/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  <c r="CN52" s="169"/>
      <c r="CO52" s="169"/>
      <c r="CP52" s="169"/>
      <c r="CQ52" s="169"/>
      <c r="CR52" s="169"/>
      <c r="CS52" s="169"/>
      <c r="CT52" s="169"/>
      <c r="CU52" s="169"/>
      <c r="CV52" s="169"/>
      <c r="CW52" s="169"/>
      <c r="CX52" s="169"/>
      <c r="CY52" s="169"/>
      <c r="CZ52" s="169"/>
      <c r="DA52" s="169"/>
      <c r="DB52" s="169"/>
      <c r="DC52" s="169"/>
      <c r="DD52" s="169"/>
      <c r="DE52" s="169"/>
      <c r="DF52" s="169"/>
      <c r="DG52" s="169"/>
      <c r="DH52" s="169"/>
      <c r="DI52" s="169"/>
      <c r="DJ52" s="169"/>
      <c r="DK52" s="169"/>
      <c r="DL52" s="169"/>
      <c r="DM52" s="169"/>
      <c r="DN52" s="169"/>
      <c r="DO52" s="169"/>
      <c r="DP52" s="169"/>
      <c r="DQ52" s="169"/>
      <c r="DR52" s="169"/>
      <c r="DS52" s="169"/>
      <c r="DT52" s="169"/>
      <c r="DU52" s="169"/>
      <c r="DV52" s="169"/>
      <c r="DW52" s="169"/>
      <c r="DX52" s="169"/>
      <c r="DY52" s="169"/>
      <c r="DZ52" s="169"/>
      <c r="EA52" s="169"/>
      <c r="EB52" s="169"/>
      <c r="EC52" s="169"/>
      <c r="ED52" s="169"/>
      <c r="EE52" s="169"/>
      <c r="EF52" s="169"/>
      <c r="EG52" s="169"/>
      <c r="EH52" s="169"/>
      <c r="EI52" s="169"/>
      <c r="EJ52" s="169"/>
      <c r="EK52" s="169"/>
      <c r="EL52" s="169"/>
      <c r="EM52" s="169"/>
      <c r="EN52" s="169"/>
      <c r="EO52" s="169"/>
      <c r="EP52" s="169"/>
      <c r="EQ52" s="169"/>
      <c r="ER52" s="169"/>
      <c r="ES52" s="169"/>
      <c r="ET52" s="169"/>
      <c r="EU52" s="169"/>
      <c r="EV52" s="169"/>
      <c r="EW52" s="169"/>
      <c r="EX52" s="169"/>
      <c r="EY52" s="169"/>
      <c r="EZ52" s="169"/>
      <c r="FA52" s="169"/>
      <c r="FB52" s="169"/>
      <c r="FC52" s="169"/>
      <c r="FD52" s="169"/>
      <c r="FE52" s="169"/>
      <c r="FF52" s="169"/>
      <c r="FG52" s="169"/>
      <c r="FH52" s="169"/>
      <c r="FI52" s="169"/>
      <c r="FJ52" s="169"/>
      <c r="FK52" s="169"/>
      <c r="FL52" s="169"/>
      <c r="FM52" s="169"/>
      <c r="FN52" s="169"/>
      <c r="FO52" s="169"/>
      <c r="FP52" s="169"/>
      <c r="FQ52" s="169"/>
      <c r="FR52" s="169"/>
      <c r="FS52" s="169"/>
      <c r="FT52" s="169"/>
      <c r="FU52" s="169"/>
      <c r="FV52" s="169"/>
      <c r="FW52" s="169"/>
      <c r="FX52" s="169"/>
      <c r="FY52" s="169"/>
      <c r="FZ52" s="169"/>
      <c r="GA52" s="169"/>
      <c r="GB52" s="169"/>
      <c r="GC52" s="169"/>
    </row>
    <row r="53" spans="1:185">
      <c r="A53" s="155"/>
      <c r="B53" s="156"/>
      <c r="C53" s="157"/>
      <c r="D53" s="152"/>
      <c r="E53" s="208"/>
      <c r="F53" s="208"/>
      <c r="G53" s="208"/>
      <c r="H53" s="208"/>
      <c r="I53" s="208"/>
      <c r="J53" s="208"/>
      <c r="K53" s="208"/>
      <c r="L53" s="208"/>
      <c r="M53" s="227"/>
      <c r="N53" s="218"/>
      <c r="P53" s="236" t="s">
        <v>49</v>
      </c>
      <c r="Q53" s="237"/>
      <c r="R53" s="237"/>
      <c r="S53" s="238"/>
      <c r="T53" s="238">
        <f t="shared" ref="T53:AA53" si="39">T4_CAF_LOTS*T4_TAUX_APF</f>
        <v>0</v>
      </c>
      <c r="U53" s="238">
        <f t="shared" si="39"/>
        <v>0</v>
      </c>
      <c r="V53" s="238">
        <f t="shared" si="39"/>
        <v>0</v>
      </c>
      <c r="W53" s="238">
        <f t="shared" si="39"/>
        <v>0</v>
      </c>
      <c r="X53" s="238">
        <f t="shared" si="39"/>
        <v>0</v>
      </c>
      <c r="Y53" s="238">
        <f t="shared" si="39"/>
        <v>0</v>
      </c>
      <c r="Z53" s="238">
        <f t="shared" si="39"/>
        <v>0</v>
      </c>
      <c r="AA53" s="238">
        <f t="shared" si="39"/>
        <v>0</v>
      </c>
      <c r="AC53" s="228"/>
      <c r="AD53" s="228"/>
      <c r="AE53" s="228"/>
      <c r="BF53" s="166"/>
      <c r="BG53" s="166"/>
      <c r="BH53" s="167"/>
      <c r="BM53" s="168"/>
      <c r="BN53" s="169"/>
      <c r="BO53" s="169"/>
      <c r="BP53" s="169"/>
      <c r="BQ53" s="169"/>
      <c r="BR53" s="169"/>
      <c r="BS53" s="169"/>
      <c r="BT53" s="169"/>
      <c r="BU53" s="169"/>
      <c r="BV53" s="169"/>
      <c r="BW53" s="169"/>
      <c r="BX53" s="169"/>
      <c r="BY53" s="169"/>
      <c r="BZ53" s="169"/>
      <c r="CA53" s="169"/>
      <c r="CB53" s="169"/>
      <c r="CC53" s="169"/>
      <c r="CD53" s="169"/>
      <c r="CE53" s="169"/>
      <c r="CF53" s="169"/>
      <c r="CG53" s="169"/>
      <c r="CH53" s="169"/>
      <c r="CI53" s="169"/>
      <c r="CJ53" s="169"/>
      <c r="CK53" s="169"/>
      <c r="CL53" s="169"/>
      <c r="CM53" s="169"/>
      <c r="CN53" s="169"/>
      <c r="CO53" s="169"/>
      <c r="CP53" s="169"/>
      <c r="CQ53" s="169"/>
      <c r="CR53" s="169"/>
      <c r="CS53" s="169"/>
      <c r="CT53" s="169"/>
      <c r="CU53" s="169"/>
      <c r="CV53" s="169"/>
      <c r="CW53" s="169"/>
      <c r="CX53" s="169"/>
      <c r="CY53" s="169"/>
      <c r="CZ53" s="169"/>
      <c r="DA53" s="169"/>
      <c r="DB53" s="169"/>
      <c r="DC53" s="169"/>
      <c r="DD53" s="169"/>
      <c r="DE53" s="169"/>
      <c r="DF53" s="169"/>
      <c r="DG53" s="169"/>
      <c r="DH53" s="169"/>
      <c r="DI53" s="169"/>
      <c r="DJ53" s="169"/>
      <c r="DK53" s="169"/>
      <c r="DL53" s="169"/>
      <c r="DM53" s="169"/>
      <c r="DN53" s="169"/>
      <c r="DO53" s="169"/>
      <c r="DP53" s="169"/>
      <c r="DQ53" s="169"/>
      <c r="DR53" s="169"/>
      <c r="DS53" s="169"/>
      <c r="DT53" s="169"/>
      <c r="DU53" s="169"/>
      <c r="DV53" s="169"/>
      <c r="DW53" s="169"/>
      <c r="DX53" s="169"/>
      <c r="DY53" s="169"/>
      <c r="DZ53" s="169"/>
      <c r="EA53" s="169"/>
      <c r="EB53" s="169"/>
      <c r="EC53" s="169"/>
      <c r="ED53" s="169"/>
      <c r="EE53" s="169"/>
      <c r="EF53" s="169"/>
      <c r="EG53" s="169"/>
      <c r="EH53" s="169"/>
      <c r="EI53" s="169"/>
      <c r="EJ53" s="169"/>
      <c r="EK53" s="169"/>
      <c r="EL53" s="169"/>
      <c r="EM53" s="169"/>
      <c r="EN53" s="169"/>
      <c r="EO53" s="169"/>
      <c r="EP53" s="169"/>
      <c r="EQ53" s="169"/>
      <c r="ER53" s="169"/>
      <c r="ES53" s="169"/>
      <c r="ET53" s="169"/>
      <c r="EU53" s="169"/>
      <c r="EV53" s="169"/>
      <c r="EW53" s="169"/>
      <c r="EX53" s="169"/>
      <c r="EY53" s="169"/>
      <c r="EZ53" s="169"/>
      <c r="FA53" s="169"/>
      <c r="FB53" s="169"/>
      <c r="FC53" s="169"/>
      <c r="FD53" s="169"/>
      <c r="FE53" s="169"/>
      <c r="FF53" s="169"/>
      <c r="FG53" s="169"/>
      <c r="FH53" s="169"/>
      <c r="FI53" s="169"/>
      <c r="FJ53" s="169"/>
      <c r="FK53" s="169"/>
      <c r="FL53" s="169"/>
      <c r="FM53" s="169"/>
      <c r="FN53" s="169"/>
      <c r="FO53" s="169"/>
      <c r="FP53" s="169"/>
      <c r="FQ53" s="169"/>
      <c r="FR53" s="169"/>
      <c r="FS53" s="169"/>
      <c r="FT53" s="169"/>
      <c r="FU53" s="169"/>
      <c r="FV53" s="169"/>
      <c r="FW53" s="169"/>
      <c r="FX53" s="169"/>
      <c r="FY53" s="169"/>
      <c r="FZ53" s="169"/>
      <c r="GA53" s="169"/>
      <c r="GB53" s="169"/>
      <c r="GC53" s="169"/>
    </row>
    <row r="54" spans="1:185">
      <c r="A54" s="155"/>
      <c r="B54" s="156"/>
      <c r="C54" s="157"/>
      <c r="D54" s="240"/>
      <c r="E54" s="241"/>
      <c r="F54" s="241"/>
      <c r="G54" s="241"/>
      <c r="H54" s="241"/>
      <c r="I54" s="241"/>
      <c r="J54" s="241"/>
      <c r="K54" s="241"/>
      <c r="L54" s="241"/>
      <c r="M54" s="242"/>
      <c r="N54" s="218"/>
      <c r="P54" s="219" t="s">
        <v>38</v>
      </c>
      <c r="Q54" s="212"/>
      <c r="R54" s="197" t="str">
        <f>E27</f>
        <v>% APF</v>
      </c>
      <c r="S54" s="192"/>
      <c r="T54" s="198">
        <f t="shared" ref="T54:AA54" si="40">IF(T5_CODE_ENC="O",0,TAUX_APF)</f>
        <v>0.35</v>
      </c>
      <c r="U54" s="198">
        <f t="shared" si="40"/>
        <v>0.55000000000000004</v>
      </c>
      <c r="V54" s="198">
        <f t="shared" si="40"/>
        <v>0.65</v>
      </c>
      <c r="W54" s="198">
        <f t="shared" si="40"/>
        <v>0.7</v>
      </c>
      <c r="X54" s="198">
        <f t="shared" si="40"/>
        <v>0.85</v>
      </c>
      <c r="Y54" s="198">
        <f t="shared" si="40"/>
        <v>0.9</v>
      </c>
      <c r="Z54" s="198">
        <f t="shared" si="40"/>
        <v>1</v>
      </c>
      <c r="AA54" s="198">
        <f t="shared" si="40"/>
        <v>1</v>
      </c>
      <c r="AC54" s="228"/>
      <c r="AD54" s="228"/>
      <c r="AE54" s="228"/>
      <c r="BF54" s="166"/>
      <c r="BG54" s="166"/>
      <c r="BH54" s="167"/>
      <c r="BM54" s="168"/>
      <c r="BN54" s="169"/>
      <c r="BO54" s="169"/>
      <c r="BP54" s="169"/>
      <c r="BQ54" s="169"/>
      <c r="BR54" s="169"/>
      <c r="BS54" s="169"/>
      <c r="BT54" s="169"/>
      <c r="BU54" s="169"/>
      <c r="BV54" s="169"/>
      <c r="BW54" s="169"/>
      <c r="BX54" s="169"/>
      <c r="BY54" s="169"/>
      <c r="BZ54" s="169"/>
      <c r="CA54" s="169"/>
      <c r="CB54" s="169"/>
      <c r="CC54" s="169"/>
      <c r="CD54" s="169"/>
      <c r="CE54" s="169"/>
      <c r="CF54" s="169"/>
      <c r="CG54" s="169"/>
      <c r="CH54" s="169"/>
      <c r="CI54" s="169"/>
      <c r="CJ54" s="169"/>
      <c r="CK54" s="169"/>
      <c r="CL54" s="169"/>
      <c r="CM54" s="169"/>
      <c r="CN54" s="169"/>
      <c r="CO54" s="169"/>
      <c r="CP54" s="169"/>
      <c r="CQ54" s="169"/>
      <c r="CR54" s="169"/>
      <c r="CS54" s="169"/>
      <c r="CT54" s="169"/>
      <c r="CU54" s="169"/>
      <c r="CV54" s="169"/>
      <c r="CW54" s="169"/>
      <c r="CX54" s="169"/>
      <c r="CY54" s="169"/>
      <c r="CZ54" s="169"/>
      <c r="DA54" s="169"/>
      <c r="DB54" s="169"/>
      <c r="DC54" s="169"/>
      <c r="DD54" s="169"/>
      <c r="DE54" s="169"/>
      <c r="DF54" s="169"/>
      <c r="DG54" s="169"/>
      <c r="DH54" s="169"/>
      <c r="DI54" s="169"/>
      <c r="DJ54" s="169"/>
      <c r="DK54" s="169"/>
      <c r="DL54" s="169"/>
      <c r="DM54" s="169"/>
      <c r="DN54" s="169"/>
      <c r="DO54" s="169"/>
      <c r="DP54" s="169"/>
      <c r="DQ54" s="169"/>
      <c r="DR54" s="169"/>
      <c r="DS54" s="169"/>
      <c r="DT54" s="169"/>
      <c r="DU54" s="169"/>
      <c r="DV54" s="169"/>
      <c r="DW54" s="169"/>
      <c r="DX54" s="169"/>
      <c r="DY54" s="169"/>
      <c r="DZ54" s="169"/>
      <c r="EA54" s="169"/>
      <c r="EB54" s="169"/>
      <c r="EC54" s="169"/>
      <c r="ED54" s="169"/>
      <c r="EE54" s="169"/>
      <c r="EF54" s="169"/>
      <c r="EG54" s="169"/>
      <c r="EH54" s="169"/>
      <c r="EI54" s="169"/>
      <c r="EJ54" s="169"/>
      <c r="EK54" s="169"/>
      <c r="EL54" s="169"/>
      <c r="EM54" s="169"/>
      <c r="EN54" s="169"/>
      <c r="EO54" s="169"/>
      <c r="EP54" s="169"/>
      <c r="EQ54" s="169"/>
      <c r="ER54" s="169"/>
      <c r="ES54" s="169"/>
      <c r="ET54" s="169"/>
      <c r="EU54" s="169"/>
      <c r="EV54" s="169"/>
      <c r="EW54" s="169"/>
      <c r="EX54" s="169"/>
      <c r="EY54" s="169"/>
      <c r="EZ54" s="169"/>
      <c r="FA54" s="169"/>
      <c r="FB54" s="169"/>
      <c r="FC54" s="169"/>
      <c r="FD54" s="169"/>
      <c r="FE54" s="169"/>
      <c r="FF54" s="169"/>
      <c r="FG54" s="169"/>
      <c r="FH54" s="169"/>
      <c r="FI54" s="169"/>
      <c r="FJ54" s="169"/>
      <c r="FK54" s="169"/>
      <c r="FL54" s="169"/>
      <c r="FM54" s="169"/>
      <c r="FN54" s="169"/>
      <c r="FO54" s="169"/>
      <c r="FP54" s="169"/>
      <c r="FQ54" s="169"/>
      <c r="FR54" s="169"/>
      <c r="FS54" s="169"/>
      <c r="FT54" s="169"/>
      <c r="FU54" s="169"/>
      <c r="FV54" s="169"/>
      <c r="FW54" s="169"/>
      <c r="FX54" s="169"/>
      <c r="FY54" s="169"/>
      <c r="FZ54" s="169"/>
      <c r="GA54" s="169"/>
      <c r="GB54" s="169"/>
      <c r="GC54" s="169"/>
    </row>
    <row r="55" spans="1:185">
      <c r="A55" s="155" t="s">
        <v>56</v>
      </c>
      <c r="B55" s="156"/>
      <c r="C55" s="157">
        <v>0.19600000000000001</v>
      </c>
      <c r="D55" s="220"/>
      <c r="E55" s="221"/>
      <c r="F55" s="221"/>
      <c r="G55" s="221"/>
      <c r="H55" s="221"/>
      <c r="I55" s="221"/>
      <c r="J55" s="221"/>
      <c r="K55" s="221"/>
      <c r="L55" s="221"/>
      <c r="M55" s="222"/>
      <c r="N55" s="218"/>
      <c r="P55" s="223"/>
      <c r="Q55" s="183" t="e">
        <f>DATE(YEAR(DATE_DEBUT)-1,MONTH(DATE_DEBUT),DAY(DATE_DEBUT))</f>
        <v>#VALUE!</v>
      </c>
      <c r="R55" s="183">
        <f t="shared" ref="R55:Z55" si="41">E55</f>
        <v>0</v>
      </c>
      <c r="S55" s="183">
        <f t="shared" si="41"/>
        <v>0</v>
      </c>
      <c r="T55" s="183">
        <f t="shared" si="41"/>
        <v>0</v>
      </c>
      <c r="U55" s="183">
        <f t="shared" si="41"/>
        <v>0</v>
      </c>
      <c r="V55" s="183">
        <f t="shared" si="41"/>
        <v>0</v>
      </c>
      <c r="W55" s="183">
        <f t="shared" si="41"/>
        <v>0</v>
      </c>
      <c r="X55" s="183">
        <f t="shared" si="41"/>
        <v>0</v>
      </c>
      <c r="Y55" s="183">
        <f t="shared" si="41"/>
        <v>0</v>
      </c>
      <c r="Z55" s="183">
        <f t="shared" si="41"/>
        <v>0</v>
      </c>
      <c r="AA55" s="224">
        <f>DATE(YEAR(Z55),MONTH(Z55)+6,1)</f>
        <v>183</v>
      </c>
      <c r="AC55" s="209" t="s">
        <v>40</v>
      </c>
      <c r="AD55" s="225"/>
      <c r="AE55" s="226">
        <f>T5_LI-T5_DT+1</f>
        <v>1</v>
      </c>
      <c r="BF55" s="166">
        <f>D55</f>
        <v>0</v>
      </c>
      <c r="BG55" s="166">
        <f>ROUND(BF55*(1+C55),0)</f>
        <v>0</v>
      </c>
      <c r="BH55" s="167">
        <f>BG55-BF55</f>
        <v>0</v>
      </c>
      <c r="BM55" s="168" t="e">
        <f>HLOOKUP(BM$3-DEC_FRN,T5_CONST_TABLE,2)+HLOOKUP(BM$3-DEC_FRN,T5_CONST_TABLE,3)*((BM$3-DEC_FRN-HLOOKUP(BM$3-DEC_FRN,T5_CONST_TABLE,1))+IF(BM$3-DEC_FRN&gt;=T5_LI,1,0))</f>
        <v>#VALUE!</v>
      </c>
      <c r="BN55" s="169" t="e">
        <f>HLOOKUP(BN$3-DEC_FRN,T5_CONST_TABLE,2)+HLOOKUP(BN$3-DEC_FRN,T5_CONST_TABLE,3)*((BN$3-DEC_FRN-HLOOKUP(BN$3-DEC_FRN,T5_CONST_TABLE,1))+IF(BN$3-DEC_FRN&gt;=T5_LI,1,0))</f>
        <v>#VALUE!</v>
      </c>
      <c r="BO55" s="169"/>
      <c r="BP55" s="169"/>
      <c r="BQ55" s="169"/>
      <c r="BR55" s="169"/>
      <c r="BS55" s="169"/>
      <c r="BT55" s="169"/>
      <c r="BU55" s="169"/>
      <c r="BV55" s="169"/>
      <c r="BW55" s="169"/>
      <c r="BX55" s="169"/>
      <c r="BY55" s="169"/>
      <c r="BZ55" s="169"/>
      <c r="CA55" s="169"/>
      <c r="CB55" s="169"/>
      <c r="CC55" s="169"/>
      <c r="CD55" s="169"/>
      <c r="CE55" s="169"/>
      <c r="CF55" s="169"/>
      <c r="CG55" s="169"/>
      <c r="CH55" s="169"/>
      <c r="CI55" s="169"/>
      <c r="CJ55" s="169"/>
      <c r="CK55" s="169"/>
      <c r="CL55" s="169"/>
      <c r="CM55" s="169"/>
      <c r="CN55" s="169"/>
      <c r="CO55" s="169"/>
      <c r="CP55" s="169"/>
      <c r="CQ55" s="169"/>
      <c r="CR55" s="169"/>
      <c r="CS55" s="169"/>
      <c r="CT55" s="169"/>
      <c r="CU55" s="169"/>
      <c r="CV55" s="169"/>
      <c r="CW55" s="169"/>
      <c r="CX55" s="169"/>
      <c r="CY55" s="169"/>
      <c r="CZ55" s="169"/>
      <c r="DA55" s="169"/>
      <c r="DB55" s="169"/>
      <c r="DC55" s="169"/>
      <c r="DD55" s="169"/>
      <c r="DE55" s="169"/>
      <c r="DF55" s="169"/>
      <c r="DG55" s="169"/>
      <c r="DH55" s="169"/>
      <c r="DI55" s="169"/>
      <c r="DJ55" s="169"/>
      <c r="DK55" s="169"/>
      <c r="DL55" s="169"/>
      <c r="DM55" s="169"/>
      <c r="DN55" s="169"/>
      <c r="DO55" s="169"/>
      <c r="DP55" s="169"/>
      <c r="DQ55" s="169"/>
      <c r="DR55" s="169"/>
      <c r="DS55" s="169"/>
      <c r="DT55" s="169"/>
      <c r="DU55" s="169"/>
      <c r="DV55" s="169"/>
      <c r="DW55" s="169"/>
      <c r="DX55" s="169"/>
      <c r="DY55" s="169"/>
      <c r="DZ55" s="169"/>
      <c r="EA55" s="169"/>
      <c r="EB55" s="169"/>
      <c r="EC55" s="169"/>
      <c r="ED55" s="169"/>
      <c r="EE55" s="169"/>
      <c r="EF55" s="169"/>
      <c r="EG55" s="169"/>
      <c r="EH55" s="169"/>
      <c r="EI55" s="169"/>
      <c r="EJ55" s="169"/>
      <c r="EK55" s="169"/>
      <c r="EL55" s="169"/>
      <c r="EM55" s="169"/>
      <c r="EN55" s="169"/>
      <c r="EO55" s="169"/>
      <c r="EP55" s="169"/>
      <c r="EQ55" s="169"/>
      <c r="ER55" s="169"/>
      <c r="ES55" s="169"/>
      <c r="ET55" s="169"/>
      <c r="EU55" s="169"/>
      <c r="EV55" s="169"/>
      <c r="EW55" s="169"/>
      <c r="EX55" s="169"/>
      <c r="EY55" s="169"/>
      <c r="EZ55" s="169"/>
      <c r="FA55" s="169"/>
      <c r="FB55" s="169"/>
      <c r="FC55" s="169"/>
      <c r="FD55" s="169"/>
      <c r="FE55" s="169"/>
      <c r="FF55" s="169"/>
      <c r="FG55" s="169"/>
      <c r="FH55" s="169"/>
      <c r="FI55" s="169"/>
      <c r="FJ55" s="169"/>
      <c r="FK55" s="169"/>
      <c r="FL55" s="169"/>
      <c r="FM55" s="169"/>
      <c r="FN55" s="169"/>
      <c r="FO55" s="169"/>
      <c r="FP55" s="169"/>
      <c r="FQ55" s="169"/>
      <c r="FR55" s="169"/>
      <c r="FS55" s="169"/>
      <c r="FT55" s="169"/>
      <c r="FU55" s="169"/>
      <c r="FV55" s="169"/>
      <c r="FW55" s="169"/>
      <c r="FX55" s="169"/>
      <c r="FY55" s="169"/>
      <c r="FZ55" s="169"/>
      <c r="GA55" s="169"/>
      <c r="GB55" s="169"/>
      <c r="GC55" s="169"/>
    </row>
    <row r="56" spans="1:185">
      <c r="A56" s="155"/>
      <c r="B56" s="156"/>
      <c r="C56" s="157"/>
      <c r="D56" s="152"/>
      <c r="E56" s="208"/>
      <c r="F56" s="208"/>
      <c r="G56" s="208"/>
      <c r="H56" s="208"/>
      <c r="I56" s="208"/>
      <c r="J56" s="208"/>
      <c r="K56" s="208"/>
      <c r="L56" s="208"/>
      <c r="M56" s="227"/>
      <c r="N56" s="218"/>
      <c r="P56" s="223"/>
      <c r="Q56" s="228" t="e">
        <f t="shared" ref="Q56:AA56" si="42">YEAR(Q55)*12+MONTH(Q55)</f>
        <v>#VALUE!</v>
      </c>
      <c r="R56" s="228">
        <f t="shared" si="42"/>
        <v>22801</v>
      </c>
      <c r="S56" s="228">
        <f t="shared" si="42"/>
        <v>22801</v>
      </c>
      <c r="T56" s="228">
        <f t="shared" si="42"/>
        <v>22801</v>
      </c>
      <c r="U56" s="228">
        <f t="shared" si="42"/>
        <v>22801</v>
      </c>
      <c r="V56" s="228">
        <f t="shared" si="42"/>
        <v>22801</v>
      </c>
      <c r="W56" s="228">
        <f t="shared" si="42"/>
        <v>22801</v>
      </c>
      <c r="X56" s="228">
        <f t="shared" si="42"/>
        <v>22801</v>
      </c>
      <c r="Y56" s="228">
        <f t="shared" si="42"/>
        <v>22801</v>
      </c>
      <c r="Z56" s="228">
        <f t="shared" si="42"/>
        <v>22801</v>
      </c>
      <c r="AA56" s="229">
        <f t="shared" si="42"/>
        <v>22807</v>
      </c>
      <c r="AC56" s="228"/>
      <c r="AD56" s="228"/>
      <c r="AE56" s="228"/>
      <c r="BF56" s="166"/>
      <c r="BG56" s="166"/>
      <c r="BH56" s="167"/>
      <c r="BM56" s="168"/>
      <c r="BN56" s="169"/>
      <c r="BO56" s="169"/>
      <c r="BP56" s="169"/>
      <c r="BQ56" s="169"/>
      <c r="BR56" s="169"/>
      <c r="BS56" s="169"/>
      <c r="BT56" s="169"/>
      <c r="BU56" s="169"/>
      <c r="BV56" s="169"/>
      <c r="BW56" s="169"/>
      <c r="BX56" s="169"/>
      <c r="BY56" s="169"/>
      <c r="BZ56" s="169"/>
      <c r="CA56" s="169"/>
      <c r="CB56" s="169"/>
      <c r="CC56" s="169"/>
      <c r="CD56" s="169"/>
      <c r="CE56" s="169"/>
      <c r="CF56" s="169"/>
      <c r="CG56" s="169"/>
      <c r="CH56" s="169"/>
      <c r="CI56" s="169"/>
      <c r="CJ56" s="169"/>
      <c r="CK56" s="169"/>
      <c r="CL56" s="169"/>
      <c r="CM56" s="169"/>
      <c r="CN56" s="169"/>
      <c r="CO56" s="169"/>
      <c r="CP56" s="169"/>
      <c r="CQ56" s="169"/>
      <c r="CR56" s="169"/>
      <c r="CS56" s="169"/>
      <c r="CT56" s="169"/>
      <c r="CU56" s="169"/>
      <c r="CV56" s="169"/>
      <c r="CW56" s="169"/>
      <c r="CX56" s="169"/>
      <c r="CY56" s="169"/>
      <c r="CZ56" s="169"/>
      <c r="DA56" s="169"/>
      <c r="DB56" s="169"/>
      <c r="DC56" s="169"/>
      <c r="DD56" s="169"/>
      <c r="DE56" s="169"/>
      <c r="DF56" s="169"/>
      <c r="DG56" s="169"/>
      <c r="DH56" s="169"/>
      <c r="DI56" s="169"/>
      <c r="DJ56" s="169"/>
      <c r="DK56" s="169"/>
      <c r="DL56" s="169"/>
      <c r="DM56" s="169"/>
      <c r="DN56" s="169"/>
      <c r="DO56" s="169"/>
      <c r="DP56" s="169"/>
      <c r="DQ56" s="169"/>
      <c r="DR56" s="169"/>
      <c r="DS56" s="169"/>
      <c r="DT56" s="169"/>
      <c r="DU56" s="169"/>
      <c r="DV56" s="169"/>
      <c r="DW56" s="169"/>
      <c r="DX56" s="169"/>
      <c r="DY56" s="169"/>
      <c r="DZ56" s="169"/>
      <c r="EA56" s="169"/>
      <c r="EB56" s="169"/>
      <c r="EC56" s="169"/>
      <c r="ED56" s="169"/>
      <c r="EE56" s="169"/>
      <c r="EF56" s="169"/>
      <c r="EG56" s="169"/>
      <c r="EH56" s="169"/>
      <c r="EI56" s="169"/>
      <c r="EJ56" s="169"/>
      <c r="EK56" s="169"/>
      <c r="EL56" s="169"/>
      <c r="EM56" s="169"/>
      <c r="EN56" s="169"/>
      <c r="EO56" s="169"/>
      <c r="EP56" s="169"/>
      <c r="EQ56" s="169"/>
      <c r="ER56" s="169"/>
      <c r="ES56" s="169"/>
      <c r="ET56" s="169"/>
      <c r="EU56" s="169"/>
      <c r="EV56" s="169"/>
      <c r="EW56" s="169"/>
      <c r="EX56" s="169"/>
      <c r="EY56" s="169"/>
      <c r="EZ56" s="169"/>
      <c r="FA56" s="169"/>
      <c r="FB56" s="169"/>
      <c r="FC56" s="169"/>
      <c r="FD56" s="169"/>
      <c r="FE56" s="169"/>
      <c r="FF56" s="169"/>
      <c r="FG56" s="169"/>
      <c r="FH56" s="169"/>
      <c r="FI56" s="169"/>
      <c r="FJ56" s="169"/>
      <c r="FK56" s="169"/>
      <c r="FL56" s="169"/>
      <c r="FM56" s="169"/>
      <c r="FN56" s="169"/>
      <c r="FO56" s="169"/>
      <c r="FP56" s="169"/>
      <c r="FQ56" s="169"/>
      <c r="FR56" s="169"/>
      <c r="FS56" s="169"/>
      <c r="FT56" s="169"/>
      <c r="FU56" s="169"/>
      <c r="FV56" s="169"/>
      <c r="FW56" s="169"/>
      <c r="FX56" s="169"/>
      <c r="FY56" s="169"/>
      <c r="FZ56" s="169"/>
      <c r="GA56" s="169"/>
      <c r="GB56" s="169"/>
      <c r="GC56" s="169"/>
    </row>
    <row r="57" spans="1:185">
      <c r="A57" s="155"/>
      <c r="B57" s="156"/>
      <c r="C57" s="231" t="s">
        <v>42</v>
      </c>
      <c r="E57" s="209" t="s">
        <v>43</v>
      </c>
      <c r="G57" s="209" t="s">
        <v>44</v>
      </c>
      <c r="I57" s="209" t="s">
        <v>45</v>
      </c>
      <c r="K57" s="217" t="s">
        <v>46</v>
      </c>
      <c r="M57" s="227"/>
      <c r="N57" s="218"/>
      <c r="O57" s="131" t="s">
        <v>57</v>
      </c>
      <c r="P57" s="223" t="s">
        <v>47</v>
      </c>
      <c r="Q57" s="228"/>
      <c r="R57" s="228"/>
      <c r="S57" s="228"/>
      <c r="T57" s="228">
        <f t="shared" ref="T57:Z57" si="43">TAUX_TRVX*T5_CONST_TTC</f>
        <v>0</v>
      </c>
      <c r="U57" s="228">
        <f t="shared" si="43"/>
        <v>0</v>
      </c>
      <c r="V57" s="228">
        <f t="shared" si="43"/>
        <v>0</v>
      </c>
      <c r="W57" s="228">
        <f t="shared" si="43"/>
        <v>0</v>
      </c>
      <c r="X57" s="228">
        <f t="shared" si="43"/>
        <v>0</v>
      </c>
      <c r="Y57" s="228">
        <f t="shared" si="43"/>
        <v>0</v>
      </c>
      <c r="Z57" s="228">
        <f t="shared" si="43"/>
        <v>0</v>
      </c>
      <c r="AA57" s="229">
        <f>AA$28*T5_CONST_TTC</f>
        <v>0</v>
      </c>
      <c r="AC57" s="228"/>
      <c r="AD57" s="228"/>
      <c r="AE57" s="228"/>
      <c r="BF57" s="166"/>
      <c r="BG57" s="166"/>
      <c r="BH57" s="167"/>
      <c r="BM57" s="168"/>
      <c r="BN57" s="169"/>
      <c r="BO57" s="169"/>
      <c r="BP57" s="169"/>
      <c r="BQ57" s="169"/>
      <c r="BR57" s="169"/>
      <c r="BS57" s="169"/>
      <c r="BT57" s="169"/>
      <c r="BU57" s="169"/>
      <c r="BV57" s="169"/>
      <c r="BW57" s="169"/>
      <c r="BX57" s="169"/>
      <c r="BY57" s="169"/>
      <c r="BZ57" s="169"/>
      <c r="CA57" s="169"/>
      <c r="CB57" s="169"/>
      <c r="CC57" s="169"/>
      <c r="CD57" s="169"/>
      <c r="CE57" s="169"/>
      <c r="CF57" s="169"/>
      <c r="CG57" s="169"/>
      <c r="CH57" s="169"/>
      <c r="CI57" s="169"/>
      <c r="CJ57" s="169"/>
      <c r="CK57" s="169"/>
      <c r="CL57" s="169"/>
      <c r="CM57" s="169"/>
      <c r="CN57" s="169"/>
      <c r="CO57" s="169"/>
      <c r="CP57" s="169"/>
      <c r="CQ57" s="169"/>
      <c r="CR57" s="169"/>
      <c r="CS57" s="169"/>
      <c r="CT57" s="169"/>
      <c r="CU57" s="169"/>
      <c r="CV57" s="169"/>
      <c r="CW57" s="169"/>
      <c r="CX57" s="169"/>
      <c r="CY57" s="169"/>
      <c r="CZ57" s="169"/>
      <c r="DA57" s="169"/>
      <c r="DB57" s="169"/>
      <c r="DC57" s="169"/>
      <c r="DD57" s="169"/>
      <c r="DE57" s="169"/>
      <c r="DF57" s="169"/>
      <c r="DG57" s="169"/>
      <c r="DH57" s="169"/>
      <c r="DI57" s="169"/>
      <c r="DJ57" s="169"/>
      <c r="DK57" s="169"/>
      <c r="DL57" s="169"/>
      <c r="DM57" s="169"/>
      <c r="DN57" s="169"/>
      <c r="DO57" s="169"/>
      <c r="DP57" s="169"/>
      <c r="DQ57" s="169"/>
      <c r="DR57" s="169"/>
      <c r="DS57" s="169"/>
      <c r="DT57" s="169"/>
      <c r="DU57" s="169"/>
      <c r="DV57" s="169"/>
      <c r="DW57" s="169"/>
      <c r="DX57" s="169"/>
      <c r="DY57" s="169"/>
      <c r="DZ57" s="169"/>
      <c r="EA57" s="169"/>
      <c r="EB57" s="169"/>
      <c r="EC57" s="169"/>
      <c r="ED57" s="169"/>
      <c r="EE57" s="169"/>
      <c r="EF57" s="169"/>
      <c r="EG57" s="169"/>
      <c r="EH57" s="169"/>
      <c r="EI57" s="169"/>
      <c r="EJ57" s="169"/>
      <c r="EK57" s="169"/>
      <c r="EL57" s="169"/>
      <c r="EM57" s="169"/>
      <c r="EN57" s="169"/>
      <c r="EO57" s="169"/>
      <c r="EP57" s="169"/>
      <c r="EQ57" s="169"/>
      <c r="ER57" s="169"/>
      <c r="ES57" s="169"/>
      <c r="ET57" s="169"/>
      <c r="EU57" s="169"/>
      <c r="EV57" s="169"/>
      <c r="EW57" s="169"/>
      <c r="EX57" s="169"/>
      <c r="EY57" s="169"/>
      <c r="EZ57" s="169"/>
      <c r="FA57" s="169"/>
      <c r="FB57" s="169"/>
      <c r="FC57" s="169"/>
      <c r="FD57" s="169"/>
      <c r="FE57" s="169"/>
      <c r="FF57" s="169"/>
      <c r="FG57" s="169"/>
      <c r="FH57" s="169"/>
      <c r="FI57" s="169"/>
      <c r="FJ57" s="169"/>
      <c r="FK57" s="169"/>
      <c r="FL57" s="169"/>
      <c r="FM57" s="169"/>
      <c r="FN57" s="169"/>
      <c r="FO57" s="169"/>
      <c r="FP57" s="169"/>
      <c r="FQ57" s="169"/>
      <c r="FR57" s="169"/>
      <c r="FS57" s="169"/>
      <c r="FT57" s="169"/>
      <c r="FU57" s="169"/>
      <c r="FV57" s="169"/>
      <c r="FW57" s="169"/>
      <c r="FX57" s="169"/>
      <c r="FY57" s="169"/>
      <c r="FZ57" s="169"/>
      <c r="GA57" s="169"/>
      <c r="GB57" s="169"/>
      <c r="GC57" s="169"/>
    </row>
    <row r="58" spans="1:185">
      <c r="A58" s="155"/>
      <c r="B58" s="157">
        <v>0.19600000000000001</v>
      </c>
      <c r="C58" s="232"/>
      <c r="E58" s="209"/>
      <c r="G58" s="233"/>
      <c r="H58" s="208"/>
      <c r="I58" s="233"/>
      <c r="J58" s="208"/>
      <c r="K58" s="234"/>
      <c r="L58" s="208"/>
      <c r="M58" s="227"/>
      <c r="N58" s="218"/>
      <c r="P58" s="235" t="s">
        <v>48</v>
      </c>
      <c r="S58" s="228"/>
      <c r="T58" s="228" t="e">
        <f>(U57-T57)/(U56-T56)</f>
        <v>#DIV/0!</v>
      </c>
      <c r="U58" s="228" t="e">
        <f>(V57-U57)/(V56-U56)</f>
        <v>#DIV/0!</v>
      </c>
      <c r="V58" s="228" t="e">
        <f>(W57-V57)/(W56-V56)</f>
        <v>#DIV/0!</v>
      </c>
      <c r="W58" s="228" t="e">
        <f>(X57-W57)/(X56-W56)</f>
        <v>#DIV/0!</v>
      </c>
      <c r="X58" s="228" t="e">
        <f>(Y57-X57)/(Y56-X56)</f>
        <v>#DIV/0!</v>
      </c>
      <c r="Y58" s="228" t="e">
        <f>(Z57-Y57)/(T5_LI-Y56)</f>
        <v>#DIV/0!</v>
      </c>
      <c r="Z58" s="228">
        <f>(AA57-Z57)/(AA56-T5_LI)</f>
        <v>0</v>
      </c>
      <c r="AA58" s="229"/>
      <c r="AC58" s="228"/>
      <c r="AD58" s="228"/>
      <c r="AE58" s="228"/>
      <c r="BF58" s="166"/>
      <c r="BG58" s="166"/>
      <c r="BH58" s="167"/>
      <c r="BM58" s="168"/>
      <c r="BN58" s="169"/>
      <c r="BO58" s="169"/>
      <c r="BP58" s="169"/>
      <c r="BQ58" s="169"/>
      <c r="BR58" s="169"/>
      <c r="BS58" s="169"/>
      <c r="BT58" s="169"/>
      <c r="BU58" s="169"/>
      <c r="BV58" s="169"/>
      <c r="BW58" s="169"/>
      <c r="BX58" s="169"/>
      <c r="BY58" s="169"/>
      <c r="BZ58" s="169"/>
      <c r="CA58" s="169"/>
      <c r="CB58" s="169"/>
      <c r="CC58" s="169"/>
      <c r="CD58" s="169"/>
      <c r="CE58" s="169"/>
      <c r="CF58" s="169"/>
      <c r="CG58" s="169"/>
      <c r="CH58" s="169"/>
      <c r="CI58" s="169"/>
      <c r="CJ58" s="169"/>
      <c r="CK58" s="169"/>
      <c r="CL58" s="169"/>
      <c r="CM58" s="169"/>
      <c r="CN58" s="169"/>
      <c r="CO58" s="169"/>
      <c r="CP58" s="169"/>
      <c r="CQ58" s="169"/>
      <c r="CR58" s="169"/>
      <c r="CS58" s="169"/>
      <c r="CT58" s="169"/>
      <c r="CU58" s="169"/>
      <c r="CV58" s="169"/>
      <c r="CW58" s="169"/>
      <c r="CX58" s="169"/>
      <c r="CY58" s="169"/>
      <c r="CZ58" s="169"/>
      <c r="DA58" s="169"/>
      <c r="DB58" s="169"/>
      <c r="DC58" s="169"/>
      <c r="DD58" s="169"/>
      <c r="DE58" s="169"/>
      <c r="DF58" s="169"/>
      <c r="DG58" s="169"/>
      <c r="DH58" s="169"/>
      <c r="DI58" s="169"/>
      <c r="DJ58" s="169"/>
      <c r="DK58" s="169"/>
      <c r="DL58" s="169"/>
      <c r="DM58" s="169"/>
      <c r="DN58" s="169"/>
      <c r="DO58" s="169"/>
      <c r="DP58" s="169"/>
      <c r="DQ58" s="169"/>
      <c r="DR58" s="169"/>
      <c r="DS58" s="169"/>
      <c r="DT58" s="169"/>
      <c r="DU58" s="169"/>
      <c r="DV58" s="169"/>
      <c r="DW58" s="169"/>
      <c r="DX58" s="169"/>
      <c r="DY58" s="169"/>
      <c r="DZ58" s="169"/>
      <c r="EA58" s="169"/>
      <c r="EB58" s="169"/>
      <c r="EC58" s="169"/>
      <c r="ED58" s="169"/>
      <c r="EE58" s="169"/>
      <c r="EF58" s="169"/>
      <c r="EG58" s="169"/>
      <c r="EH58" s="169"/>
      <c r="EI58" s="169"/>
      <c r="EJ58" s="169"/>
      <c r="EK58" s="169"/>
      <c r="EL58" s="169"/>
      <c r="EM58" s="169"/>
      <c r="EN58" s="169"/>
      <c r="EO58" s="169"/>
      <c r="EP58" s="169"/>
      <c r="EQ58" s="169"/>
      <c r="ER58" s="169"/>
      <c r="ES58" s="169"/>
      <c r="ET58" s="169"/>
      <c r="EU58" s="169"/>
      <c r="EV58" s="169"/>
      <c r="EW58" s="169"/>
      <c r="EX58" s="169"/>
      <c r="EY58" s="169"/>
      <c r="EZ58" s="169"/>
      <c r="FA58" s="169"/>
      <c r="FB58" s="169"/>
      <c r="FC58" s="169"/>
      <c r="FD58" s="169"/>
      <c r="FE58" s="169"/>
      <c r="FF58" s="169"/>
      <c r="FG58" s="169"/>
      <c r="FH58" s="169"/>
      <c r="FI58" s="169"/>
      <c r="FJ58" s="169"/>
      <c r="FK58" s="169"/>
      <c r="FL58" s="169"/>
      <c r="FM58" s="169"/>
      <c r="FN58" s="169"/>
      <c r="FO58" s="169"/>
      <c r="FP58" s="169"/>
      <c r="FQ58" s="169"/>
      <c r="FR58" s="169"/>
      <c r="FS58" s="169"/>
      <c r="FT58" s="169"/>
      <c r="FU58" s="169"/>
      <c r="FV58" s="169"/>
      <c r="FW58" s="169"/>
      <c r="FX58" s="169"/>
      <c r="FY58" s="169"/>
      <c r="FZ58" s="169"/>
      <c r="GA58" s="169"/>
      <c r="GB58" s="169"/>
      <c r="GC58" s="169"/>
    </row>
    <row r="59" spans="1:185">
      <c r="A59" s="155"/>
      <c r="B59" s="156"/>
      <c r="C59" s="157"/>
      <c r="D59" s="152"/>
      <c r="E59" s="208"/>
      <c r="F59" s="208"/>
      <c r="G59" s="208"/>
      <c r="H59" s="208"/>
      <c r="I59" s="208"/>
      <c r="J59" s="208"/>
      <c r="K59" s="208"/>
      <c r="L59" s="208"/>
      <c r="M59" s="227"/>
      <c r="N59" s="218"/>
      <c r="P59" s="236" t="s">
        <v>49</v>
      </c>
      <c r="Q59" s="237"/>
      <c r="R59" s="237"/>
      <c r="S59" s="238"/>
      <c r="T59" s="238">
        <f t="shared" ref="T59:AA59" si="44">T5_CAF_LOTS*T5_TAUX_APF</f>
        <v>0</v>
      </c>
      <c r="U59" s="238">
        <f t="shared" si="44"/>
        <v>0</v>
      </c>
      <c r="V59" s="238">
        <f t="shared" si="44"/>
        <v>0</v>
      </c>
      <c r="W59" s="238">
        <f t="shared" si="44"/>
        <v>0</v>
      </c>
      <c r="X59" s="238">
        <f t="shared" si="44"/>
        <v>0</v>
      </c>
      <c r="Y59" s="238">
        <f t="shared" si="44"/>
        <v>0</v>
      </c>
      <c r="Z59" s="238">
        <f t="shared" si="44"/>
        <v>0</v>
      </c>
      <c r="AA59" s="238">
        <f t="shared" si="44"/>
        <v>0</v>
      </c>
      <c r="AC59" s="228"/>
      <c r="AD59" s="228"/>
      <c r="AE59" s="228"/>
      <c r="BF59" s="166"/>
      <c r="BG59" s="166"/>
      <c r="BH59" s="167"/>
      <c r="BM59" s="168"/>
      <c r="BN59" s="169"/>
      <c r="BO59" s="169"/>
      <c r="BP59" s="169"/>
      <c r="BQ59" s="169"/>
      <c r="BR59" s="169"/>
      <c r="BS59" s="169"/>
      <c r="BT59" s="169"/>
      <c r="BU59" s="169"/>
      <c r="BV59" s="169"/>
      <c r="BW59" s="169"/>
      <c r="BX59" s="169"/>
      <c r="BY59" s="169"/>
      <c r="BZ59" s="169"/>
      <c r="CA59" s="169"/>
      <c r="CB59" s="169"/>
      <c r="CC59" s="169"/>
      <c r="CD59" s="169"/>
      <c r="CE59" s="169"/>
      <c r="CF59" s="169"/>
      <c r="CG59" s="169"/>
      <c r="CH59" s="169"/>
      <c r="CI59" s="169"/>
      <c r="CJ59" s="169"/>
      <c r="CK59" s="169"/>
      <c r="CL59" s="169"/>
      <c r="CM59" s="169"/>
      <c r="CN59" s="169"/>
      <c r="CO59" s="169"/>
      <c r="CP59" s="169"/>
      <c r="CQ59" s="169"/>
      <c r="CR59" s="169"/>
      <c r="CS59" s="169"/>
      <c r="CT59" s="169"/>
      <c r="CU59" s="169"/>
      <c r="CV59" s="169"/>
      <c r="CW59" s="169"/>
      <c r="CX59" s="169"/>
      <c r="CY59" s="169"/>
      <c r="CZ59" s="169"/>
      <c r="DA59" s="169"/>
      <c r="DB59" s="169"/>
      <c r="DC59" s="169"/>
      <c r="DD59" s="169"/>
      <c r="DE59" s="169"/>
      <c r="DF59" s="169"/>
      <c r="DG59" s="169"/>
      <c r="DH59" s="169"/>
      <c r="DI59" s="169"/>
      <c r="DJ59" s="169"/>
      <c r="DK59" s="169"/>
      <c r="DL59" s="169"/>
      <c r="DM59" s="169"/>
      <c r="DN59" s="169"/>
      <c r="DO59" s="169"/>
      <c r="DP59" s="169"/>
      <c r="DQ59" s="169"/>
      <c r="DR59" s="169"/>
      <c r="DS59" s="169"/>
      <c r="DT59" s="169"/>
      <c r="DU59" s="169"/>
      <c r="DV59" s="169"/>
      <c r="DW59" s="169"/>
      <c r="DX59" s="169"/>
      <c r="DY59" s="169"/>
      <c r="DZ59" s="169"/>
      <c r="EA59" s="169"/>
      <c r="EB59" s="169"/>
      <c r="EC59" s="169"/>
      <c r="ED59" s="169"/>
      <c r="EE59" s="169"/>
      <c r="EF59" s="169"/>
      <c r="EG59" s="169"/>
      <c r="EH59" s="169"/>
      <c r="EI59" s="169"/>
      <c r="EJ59" s="169"/>
      <c r="EK59" s="169"/>
      <c r="EL59" s="169"/>
      <c r="EM59" s="169"/>
      <c r="EN59" s="169"/>
      <c r="EO59" s="169"/>
      <c r="EP59" s="169"/>
      <c r="EQ59" s="169"/>
      <c r="ER59" s="169"/>
      <c r="ES59" s="169"/>
      <c r="ET59" s="169"/>
      <c r="EU59" s="169"/>
      <c r="EV59" s="169"/>
      <c r="EW59" s="169"/>
      <c r="EX59" s="169"/>
      <c r="EY59" s="169"/>
      <c r="EZ59" s="169"/>
      <c r="FA59" s="169"/>
      <c r="FB59" s="169"/>
      <c r="FC59" s="169"/>
      <c r="FD59" s="169"/>
      <c r="FE59" s="169"/>
      <c r="FF59" s="169"/>
      <c r="FG59" s="169"/>
      <c r="FH59" s="169"/>
      <c r="FI59" s="169"/>
      <c r="FJ59" s="169"/>
      <c r="FK59" s="169"/>
      <c r="FL59" s="169"/>
      <c r="FM59" s="169"/>
      <c r="FN59" s="169"/>
      <c r="FO59" s="169"/>
      <c r="FP59" s="169"/>
      <c r="FQ59" s="169"/>
      <c r="FR59" s="169"/>
      <c r="FS59" s="169"/>
      <c r="FT59" s="169"/>
      <c r="FU59" s="169"/>
      <c r="FV59" s="169"/>
      <c r="FW59" s="169"/>
      <c r="FX59" s="169"/>
      <c r="FY59" s="169"/>
      <c r="FZ59" s="169"/>
      <c r="GA59" s="169"/>
      <c r="GB59" s="169"/>
      <c r="GC59" s="169"/>
    </row>
    <row r="60" spans="1:185">
      <c r="A60" s="155"/>
      <c r="B60" s="156"/>
      <c r="C60" s="157"/>
      <c r="D60" s="240"/>
      <c r="E60" s="241"/>
      <c r="F60" s="241"/>
      <c r="G60" s="241"/>
      <c r="H60" s="241"/>
      <c r="I60" s="241"/>
      <c r="J60" s="241"/>
      <c r="K60" s="241"/>
      <c r="L60" s="241"/>
      <c r="M60" s="242"/>
      <c r="N60" s="218"/>
      <c r="P60" s="219" t="s">
        <v>38</v>
      </c>
      <c r="Q60" s="212"/>
      <c r="R60" s="197" t="str">
        <f>E27</f>
        <v>% APF</v>
      </c>
      <c r="S60" s="192"/>
      <c r="T60" s="198">
        <f t="shared" ref="T60:AA60" si="45">IF(T6_CODE_ENC="O",0,TAUX_APF)</f>
        <v>0.35</v>
      </c>
      <c r="U60" s="198">
        <f t="shared" si="45"/>
        <v>0.55000000000000004</v>
      </c>
      <c r="V60" s="198">
        <f t="shared" si="45"/>
        <v>0.65</v>
      </c>
      <c r="W60" s="198">
        <f t="shared" si="45"/>
        <v>0.7</v>
      </c>
      <c r="X60" s="198">
        <f t="shared" si="45"/>
        <v>0.85</v>
      </c>
      <c r="Y60" s="198">
        <f t="shared" si="45"/>
        <v>0.9</v>
      </c>
      <c r="Z60" s="198">
        <f t="shared" si="45"/>
        <v>1</v>
      </c>
      <c r="AA60" s="198">
        <f t="shared" si="45"/>
        <v>1</v>
      </c>
      <c r="AC60" s="228"/>
      <c r="AD60" s="228"/>
      <c r="AE60" s="228"/>
      <c r="BF60" s="166"/>
      <c r="BG60" s="166"/>
      <c r="BH60" s="167"/>
      <c r="BM60" s="168"/>
      <c r="BN60" s="169"/>
      <c r="BO60" s="169"/>
      <c r="BP60" s="169"/>
      <c r="BQ60" s="169"/>
      <c r="BR60" s="169"/>
      <c r="BS60" s="169"/>
      <c r="BT60" s="169"/>
      <c r="BU60" s="169"/>
      <c r="BV60" s="169"/>
      <c r="BW60" s="169"/>
      <c r="BX60" s="169"/>
      <c r="BY60" s="169"/>
      <c r="BZ60" s="169"/>
      <c r="CA60" s="169"/>
      <c r="CB60" s="169"/>
      <c r="CC60" s="169"/>
      <c r="CD60" s="169"/>
      <c r="CE60" s="169"/>
      <c r="CF60" s="169"/>
      <c r="CG60" s="169"/>
      <c r="CH60" s="169"/>
      <c r="CI60" s="169"/>
      <c r="CJ60" s="169"/>
      <c r="CK60" s="169"/>
      <c r="CL60" s="169"/>
      <c r="CM60" s="169"/>
      <c r="CN60" s="169"/>
      <c r="CO60" s="169"/>
      <c r="CP60" s="169"/>
      <c r="CQ60" s="169"/>
      <c r="CR60" s="169"/>
      <c r="CS60" s="169"/>
      <c r="CT60" s="169"/>
      <c r="CU60" s="169"/>
      <c r="CV60" s="169"/>
      <c r="CW60" s="169"/>
      <c r="CX60" s="169"/>
      <c r="CY60" s="169"/>
      <c r="CZ60" s="169"/>
      <c r="DA60" s="169"/>
      <c r="DB60" s="169"/>
      <c r="DC60" s="169"/>
      <c r="DD60" s="169"/>
      <c r="DE60" s="169"/>
      <c r="DF60" s="169"/>
      <c r="DG60" s="169"/>
      <c r="DH60" s="169"/>
      <c r="DI60" s="169"/>
      <c r="DJ60" s="169"/>
      <c r="DK60" s="169"/>
      <c r="DL60" s="169"/>
      <c r="DM60" s="169"/>
      <c r="DN60" s="169"/>
      <c r="DO60" s="169"/>
      <c r="DP60" s="169"/>
      <c r="DQ60" s="169"/>
      <c r="DR60" s="169"/>
      <c r="DS60" s="169"/>
      <c r="DT60" s="169"/>
      <c r="DU60" s="169"/>
      <c r="DV60" s="169"/>
      <c r="DW60" s="169"/>
      <c r="DX60" s="169"/>
      <c r="DY60" s="169"/>
      <c r="DZ60" s="169"/>
      <c r="EA60" s="169"/>
      <c r="EB60" s="169"/>
      <c r="EC60" s="169"/>
      <c r="ED60" s="169"/>
      <c r="EE60" s="169"/>
      <c r="EF60" s="169"/>
      <c r="EG60" s="169"/>
      <c r="EH60" s="169"/>
      <c r="EI60" s="169"/>
      <c r="EJ60" s="169"/>
      <c r="EK60" s="169"/>
      <c r="EL60" s="169"/>
      <c r="EM60" s="169"/>
      <c r="EN60" s="169"/>
      <c r="EO60" s="169"/>
      <c r="EP60" s="169"/>
      <c r="EQ60" s="169"/>
      <c r="ER60" s="169"/>
      <c r="ES60" s="169"/>
      <c r="ET60" s="169"/>
      <c r="EU60" s="169"/>
      <c r="EV60" s="169"/>
      <c r="EW60" s="169"/>
      <c r="EX60" s="169"/>
      <c r="EY60" s="169"/>
      <c r="EZ60" s="169"/>
      <c r="FA60" s="169"/>
      <c r="FB60" s="169"/>
      <c r="FC60" s="169"/>
      <c r="FD60" s="169"/>
      <c r="FE60" s="169"/>
      <c r="FF60" s="169"/>
      <c r="FG60" s="169"/>
      <c r="FH60" s="169"/>
      <c r="FI60" s="169"/>
      <c r="FJ60" s="169"/>
      <c r="FK60" s="169"/>
      <c r="FL60" s="169"/>
      <c r="FM60" s="169"/>
      <c r="FN60" s="169"/>
      <c r="FO60" s="169"/>
      <c r="FP60" s="169"/>
      <c r="FQ60" s="169"/>
      <c r="FR60" s="169"/>
      <c r="FS60" s="169"/>
      <c r="FT60" s="169"/>
      <c r="FU60" s="169"/>
      <c r="FV60" s="169"/>
      <c r="FW60" s="169"/>
      <c r="FX60" s="169"/>
      <c r="FY60" s="169"/>
      <c r="FZ60" s="169"/>
      <c r="GA60" s="169"/>
      <c r="GB60" s="169"/>
      <c r="GC60" s="169"/>
    </row>
    <row r="61" spans="1:185">
      <c r="A61" s="155" t="s">
        <v>58</v>
      </c>
      <c r="B61" s="156"/>
      <c r="C61" s="157">
        <v>0.19600000000000001</v>
      </c>
      <c r="D61" s="220"/>
      <c r="E61" s="221"/>
      <c r="F61" s="221"/>
      <c r="G61" s="221"/>
      <c r="H61" s="221"/>
      <c r="I61" s="221"/>
      <c r="J61" s="221"/>
      <c r="K61" s="221"/>
      <c r="L61" s="221"/>
      <c r="M61" s="222"/>
      <c r="N61" s="218"/>
      <c r="P61" s="223"/>
      <c r="Q61" s="183" t="e">
        <f>DATE(YEAR(DATE_DEBUT)-1,MONTH(DATE_DEBUT),DAY(DATE_DEBUT))</f>
        <v>#VALUE!</v>
      </c>
      <c r="R61" s="183">
        <f t="shared" ref="R61:Z61" si="46">E61</f>
        <v>0</v>
      </c>
      <c r="S61" s="183">
        <f t="shared" si="46"/>
        <v>0</v>
      </c>
      <c r="T61" s="183">
        <f t="shared" si="46"/>
        <v>0</v>
      </c>
      <c r="U61" s="183">
        <f t="shared" si="46"/>
        <v>0</v>
      </c>
      <c r="V61" s="183">
        <f t="shared" si="46"/>
        <v>0</v>
      </c>
      <c r="W61" s="183">
        <f t="shared" si="46"/>
        <v>0</v>
      </c>
      <c r="X61" s="183">
        <f t="shared" si="46"/>
        <v>0</v>
      </c>
      <c r="Y61" s="183">
        <f t="shared" si="46"/>
        <v>0</v>
      </c>
      <c r="Z61" s="183">
        <f t="shared" si="46"/>
        <v>0</v>
      </c>
      <c r="AA61" s="224">
        <f>DATE(YEAR(Z61),MONTH(Z61)+6,1)</f>
        <v>183</v>
      </c>
      <c r="AC61" s="209" t="s">
        <v>40</v>
      </c>
      <c r="AD61" s="225"/>
      <c r="AE61" s="226">
        <f>T6_LI-T6_DT+1</f>
        <v>1</v>
      </c>
      <c r="BF61" s="166">
        <f>D61</f>
        <v>0</v>
      </c>
      <c r="BG61" s="166">
        <f>ROUND(BF61*(1+C61),0)</f>
        <v>0</v>
      </c>
      <c r="BH61" s="167">
        <f>BG61-BF61</f>
        <v>0</v>
      </c>
      <c r="BM61" s="168" t="e">
        <f>HLOOKUP(BM$3-DEC_FRN,T6_CONST_TABLE,2)+HLOOKUP(BM$3-DEC_FRN,T6_CONST_TABLE,3)*((BM$3-DEC_FRN-HLOOKUP(BM$3-DEC_FRN,T6_CONST_TABLE,1))+IF(BM$3-DEC_FRN&gt;=T6_LI,1,0))</f>
        <v>#VALUE!</v>
      </c>
      <c r="BN61" s="169" t="e">
        <f>HLOOKUP(BN$3-DEC_FRN,T6_CONST_TABLE,2)+HLOOKUP(BN$3-DEC_FRN,T6_CONST_TABLE,3)*((BN$3-DEC_FRN-HLOOKUP(BN$3-DEC_FRN,T6_CONST_TABLE,1))+IF(BN$3-DEC_FRN&gt;=T6_LI,1,0))</f>
        <v>#VALUE!</v>
      </c>
      <c r="BO61" s="169"/>
      <c r="BP61" s="169"/>
      <c r="BQ61" s="169"/>
      <c r="BR61" s="169"/>
      <c r="BS61" s="169"/>
      <c r="BT61" s="169"/>
      <c r="BU61" s="169"/>
      <c r="BV61" s="169"/>
      <c r="BW61" s="169"/>
      <c r="BX61" s="169"/>
      <c r="BY61" s="169"/>
      <c r="BZ61" s="169"/>
      <c r="CA61" s="169"/>
      <c r="CB61" s="169"/>
      <c r="CC61" s="169"/>
      <c r="CD61" s="169"/>
      <c r="CE61" s="169"/>
      <c r="CF61" s="169"/>
      <c r="CG61" s="169"/>
      <c r="CH61" s="169"/>
      <c r="CI61" s="169"/>
      <c r="CJ61" s="169"/>
      <c r="CK61" s="169"/>
      <c r="CL61" s="169"/>
      <c r="CM61" s="169"/>
      <c r="CN61" s="169"/>
      <c r="CO61" s="169"/>
      <c r="CP61" s="169"/>
      <c r="CQ61" s="169"/>
      <c r="CR61" s="169"/>
      <c r="CS61" s="169"/>
      <c r="CT61" s="169"/>
      <c r="CU61" s="169"/>
      <c r="CV61" s="169"/>
      <c r="CW61" s="169"/>
      <c r="CX61" s="169"/>
      <c r="CY61" s="169"/>
      <c r="CZ61" s="169"/>
      <c r="DA61" s="169"/>
      <c r="DB61" s="169"/>
      <c r="DC61" s="169"/>
      <c r="DD61" s="169"/>
      <c r="DE61" s="169"/>
      <c r="DF61" s="169"/>
      <c r="DG61" s="169"/>
      <c r="DH61" s="169"/>
      <c r="DI61" s="169"/>
      <c r="DJ61" s="169"/>
      <c r="DK61" s="169"/>
      <c r="DL61" s="169"/>
      <c r="DM61" s="169"/>
      <c r="DN61" s="169"/>
      <c r="DO61" s="169"/>
      <c r="DP61" s="169"/>
      <c r="DQ61" s="169"/>
      <c r="DR61" s="169"/>
      <c r="DS61" s="169"/>
      <c r="DT61" s="169"/>
      <c r="DU61" s="169"/>
      <c r="DV61" s="169"/>
      <c r="DW61" s="169"/>
      <c r="DX61" s="169"/>
      <c r="DY61" s="169"/>
      <c r="DZ61" s="169"/>
      <c r="EA61" s="169"/>
      <c r="EB61" s="169"/>
      <c r="EC61" s="169"/>
      <c r="ED61" s="169"/>
      <c r="EE61" s="169"/>
      <c r="EF61" s="169"/>
      <c r="EG61" s="169"/>
      <c r="EH61" s="169"/>
      <c r="EI61" s="169"/>
      <c r="EJ61" s="169"/>
      <c r="EK61" s="169"/>
      <c r="EL61" s="169"/>
      <c r="EM61" s="169"/>
      <c r="EN61" s="169"/>
      <c r="EO61" s="169"/>
      <c r="EP61" s="169"/>
      <c r="EQ61" s="169"/>
      <c r="ER61" s="169"/>
      <c r="ES61" s="169"/>
      <c r="ET61" s="169"/>
      <c r="EU61" s="169"/>
      <c r="EV61" s="169"/>
      <c r="EW61" s="169"/>
      <c r="EX61" s="169"/>
      <c r="EY61" s="169"/>
      <c r="EZ61" s="169"/>
      <c r="FA61" s="169"/>
      <c r="FB61" s="169"/>
      <c r="FC61" s="169"/>
      <c r="FD61" s="169"/>
      <c r="FE61" s="169"/>
      <c r="FF61" s="169"/>
      <c r="FG61" s="169"/>
      <c r="FH61" s="169"/>
      <c r="FI61" s="169"/>
      <c r="FJ61" s="169"/>
      <c r="FK61" s="169"/>
      <c r="FL61" s="169"/>
      <c r="FM61" s="169"/>
      <c r="FN61" s="169"/>
      <c r="FO61" s="169"/>
      <c r="FP61" s="169"/>
      <c r="FQ61" s="169"/>
      <c r="FR61" s="169"/>
      <c r="FS61" s="169"/>
      <c r="FT61" s="169"/>
      <c r="FU61" s="169"/>
      <c r="FV61" s="169"/>
      <c r="FW61" s="169"/>
      <c r="FX61" s="169"/>
      <c r="FY61" s="169"/>
      <c r="FZ61" s="169"/>
      <c r="GA61" s="169"/>
      <c r="GB61" s="169"/>
      <c r="GC61" s="169"/>
    </row>
    <row r="62" spans="1:185">
      <c r="A62" s="155"/>
      <c r="B62" s="156"/>
      <c r="C62" s="157"/>
      <c r="D62" s="152"/>
      <c r="E62" s="208"/>
      <c r="F62" s="208"/>
      <c r="G62" s="208"/>
      <c r="H62" s="208"/>
      <c r="I62" s="208"/>
      <c r="J62" s="208"/>
      <c r="K62" s="208"/>
      <c r="L62" s="208"/>
      <c r="M62" s="227"/>
      <c r="N62" s="218"/>
      <c r="P62" s="223"/>
      <c r="Q62" s="228" t="e">
        <f t="shared" ref="Q62:AA62" si="47">YEAR(Q61)*12+MONTH(Q61)</f>
        <v>#VALUE!</v>
      </c>
      <c r="R62" s="228">
        <f t="shared" si="47"/>
        <v>22801</v>
      </c>
      <c r="S62" s="228">
        <f t="shared" si="47"/>
        <v>22801</v>
      </c>
      <c r="T62" s="228">
        <f t="shared" si="47"/>
        <v>22801</v>
      </c>
      <c r="U62" s="228">
        <f t="shared" si="47"/>
        <v>22801</v>
      </c>
      <c r="V62" s="228">
        <f t="shared" si="47"/>
        <v>22801</v>
      </c>
      <c r="W62" s="228">
        <f t="shared" si="47"/>
        <v>22801</v>
      </c>
      <c r="X62" s="228">
        <f t="shared" si="47"/>
        <v>22801</v>
      </c>
      <c r="Y62" s="228">
        <f t="shared" si="47"/>
        <v>22801</v>
      </c>
      <c r="Z62" s="228">
        <f t="shared" si="47"/>
        <v>22801</v>
      </c>
      <c r="AA62" s="229">
        <f t="shared" si="47"/>
        <v>22807</v>
      </c>
      <c r="AC62" s="228"/>
      <c r="AD62" s="228"/>
      <c r="AE62" s="228"/>
      <c r="BF62" s="166"/>
      <c r="BG62" s="166"/>
      <c r="BH62" s="167"/>
      <c r="BM62" s="168"/>
      <c r="BN62" s="169"/>
      <c r="BO62" s="169"/>
      <c r="BP62" s="169"/>
      <c r="BQ62" s="169"/>
      <c r="BR62" s="169"/>
      <c r="BS62" s="169"/>
      <c r="BT62" s="169"/>
      <c r="BU62" s="169"/>
      <c r="BV62" s="169"/>
      <c r="BW62" s="169"/>
      <c r="BX62" s="169"/>
      <c r="BY62" s="169"/>
      <c r="BZ62" s="169"/>
      <c r="CA62" s="169"/>
      <c r="CB62" s="169"/>
      <c r="CC62" s="169"/>
      <c r="CD62" s="169"/>
      <c r="CE62" s="169"/>
      <c r="CF62" s="169"/>
      <c r="CG62" s="169"/>
      <c r="CH62" s="169"/>
      <c r="CI62" s="169"/>
      <c r="CJ62" s="169"/>
      <c r="CK62" s="169"/>
      <c r="CL62" s="169"/>
      <c r="CM62" s="169"/>
      <c r="CN62" s="169"/>
      <c r="CO62" s="169"/>
      <c r="CP62" s="169"/>
      <c r="CQ62" s="169"/>
      <c r="CR62" s="169"/>
      <c r="CS62" s="169"/>
      <c r="CT62" s="169"/>
      <c r="CU62" s="169"/>
      <c r="CV62" s="169"/>
      <c r="CW62" s="169"/>
      <c r="CX62" s="169"/>
      <c r="CY62" s="169"/>
      <c r="CZ62" s="169"/>
      <c r="DA62" s="169"/>
      <c r="DB62" s="169"/>
      <c r="DC62" s="169"/>
      <c r="DD62" s="169"/>
      <c r="DE62" s="169"/>
      <c r="DF62" s="169"/>
      <c r="DG62" s="169"/>
      <c r="DH62" s="169"/>
      <c r="DI62" s="169"/>
      <c r="DJ62" s="169"/>
      <c r="DK62" s="169"/>
      <c r="DL62" s="169"/>
      <c r="DM62" s="169"/>
      <c r="DN62" s="169"/>
      <c r="DO62" s="169"/>
      <c r="DP62" s="169"/>
      <c r="DQ62" s="169"/>
      <c r="DR62" s="169"/>
      <c r="DS62" s="169"/>
      <c r="DT62" s="169"/>
      <c r="DU62" s="169"/>
      <c r="DV62" s="169"/>
      <c r="DW62" s="169"/>
      <c r="DX62" s="169"/>
      <c r="DY62" s="169"/>
      <c r="DZ62" s="169"/>
      <c r="EA62" s="169"/>
      <c r="EB62" s="169"/>
      <c r="EC62" s="169"/>
      <c r="ED62" s="169"/>
      <c r="EE62" s="169"/>
      <c r="EF62" s="169"/>
      <c r="EG62" s="169"/>
      <c r="EH62" s="169"/>
      <c r="EI62" s="169"/>
      <c r="EJ62" s="169"/>
      <c r="EK62" s="169"/>
      <c r="EL62" s="169"/>
      <c r="EM62" s="169"/>
      <c r="EN62" s="169"/>
      <c r="EO62" s="169"/>
      <c r="EP62" s="169"/>
      <c r="EQ62" s="169"/>
      <c r="ER62" s="169"/>
      <c r="ES62" s="169"/>
      <c r="ET62" s="169"/>
      <c r="EU62" s="169"/>
      <c r="EV62" s="169"/>
      <c r="EW62" s="169"/>
      <c r="EX62" s="169"/>
      <c r="EY62" s="169"/>
      <c r="EZ62" s="169"/>
      <c r="FA62" s="169"/>
      <c r="FB62" s="169"/>
      <c r="FC62" s="169"/>
      <c r="FD62" s="169"/>
      <c r="FE62" s="169"/>
      <c r="FF62" s="169"/>
      <c r="FG62" s="169"/>
      <c r="FH62" s="169"/>
      <c r="FI62" s="169"/>
      <c r="FJ62" s="169"/>
      <c r="FK62" s="169"/>
      <c r="FL62" s="169"/>
      <c r="FM62" s="169"/>
      <c r="FN62" s="169"/>
      <c r="FO62" s="169"/>
      <c r="FP62" s="169"/>
      <c r="FQ62" s="169"/>
      <c r="FR62" s="169"/>
      <c r="FS62" s="169"/>
      <c r="FT62" s="169"/>
      <c r="FU62" s="169"/>
      <c r="FV62" s="169"/>
      <c r="FW62" s="169"/>
      <c r="FX62" s="169"/>
      <c r="FY62" s="169"/>
      <c r="FZ62" s="169"/>
      <c r="GA62" s="169"/>
      <c r="GB62" s="169"/>
      <c r="GC62" s="169"/>
    </row>
    <row r="63" spans="1:185">
      <c r="A63" s="155"/>
      <c r="B63" s="156"/>
      <c r="C63" s="231" t="s">
        <v>42</v>
      </c>
      <c r="E63" s="209" t="s">
        <v>43</v>
      </c>
      <c r="G63" s="209" t="s">
        <v>44</v>
      </c>
      <c r="I63" s="209" t="s">
        <v>45</v>
      </c>
      <c r="K63" s="217" t="s">
        <v>46</v>
      </c>
      <c r="M63" s="227"/>
      <c r="N63" s="218"/>
      <c r="O63" s="131" t="s">
        <v>59</v>
      </c>
      <c r="P63" s="223" t="s">
        <v>47</v>
      </c>
      <c r="Q63" s="228"/>
      <c r="R63" s="228"/>
      <c r="S63" s="228"/>
      <c r="T63" s="228">
        <f t="shared" ref="T63:Z63" si="48">TAUX_TRVX*T6_CONST_TTC</f>
        <v>0</v>
      </c>
      <c r="U63" s="228">
        <f t="shared" si="48"/>
        <v>0</v>
      </c>
      <c r="V63" s="228">
        <f t="shared" si="48"/>
        <v>0</v>
      </c>
      <c r="W63" s="228">
        <f t="shared" si="48"/>
        <v>0</v>
      </c>
      <c r="X63" s="228">
        <f t="shared" si="48"/>
        <v>0</v>
      </c>
      <c r="Y63" s="228">
        <f t="shared" si="48"/>
        <v>0</v>
      </c>
      <c r="Z63" s="228">
        <f t="shared" si="48"/>
        <v>0</v>
      </c>
      <c r="AA63" s="229">
        <f>AA$28*T6_CONST_TTC</f>
        <v>0</v>
      </c>
      <c r="AC63" s="228"/>
      <c r="AD63" s="228"/>
      <c r="AE63" s="228"/>
      <c r="BF63" s="166"/>
      <c r="BG63" s="166"/>
      <c r="BH63" s="167"/>
      <c r="BM63" s="168"/>
      <c r="BN63" s="169"/>
      <c r="BO63" s="169"/>
      <c r="BP63" s="169"/>
      <c r="BQ63" s="169"/>
      <c r="BR63" s="169"/>
      <c r="BS63" s="169"/>
      <c r="BT63" s="169"/>
      <c r="BU63" s="169"/>
      <c r="BV63" s="169"/>
      <c r="BW63" s="169"/>
      <c r="BX63" s="169"/>
      <c r="BY63" s="169"/>
      <c r="BZ63" s="169"/>
      <c r="CA63" s="169"/>
      <c r="CB63" s="169"/>
      <c r="CC63" s="169"/>
      <c r="CD63" s="169"/>
      <c r="CE63" s="169"/>
      <c r="CF63" s="169"/>
      <c r="CG63" s="169"/>
      <c r="CH63" s="169"/>
      <c r="CI63" s="169"/>
      <c r="CJ63" s="169"/>
      <c r="CK63" s="169"/>
      <c r="CL63" s="169"/>
      <c r="CM63" s="169"/>
      <c r="CN63" s="169"/>
      <c r="CO63" s="169"/>
      <c r="CP63" s="169"/>
      <c r="CQ63" s="169"/>
      <c r="CR63" s="169"/>
      <c r="CS63" s="169"/>
      <c r="CT63" s="169"/>
      <c r="CU63" s="169"/>
      <c r="CV63" s="169"/>
      <c r="CW63" s="169"/>
      <c r="CX63" s="169"/>
      <c r="CY63" s="169"/>
      <c r="CZ63" s="169"/>
      <c r="DA63" s="169"/>
      <c r="DB63" s="169"/>
      <c r="DC63" s="169"/>
      <c r="DD63" s="169"/>
      <c r="DE63" s="169"/>
      <c r="DF63" s="169"/>
      <c r="DG63" s="169"/>
      <c r="DH63" s="169"/>
      <c r="DI63" s="169"/>
      <c r="DJ63" s="169"/>
      <c r="DK63" s="169"/>
      <c r="DL63" s="169"/>
      <c r="DM63" s="169"/>
      <c r="DN63" s="169"/>
      <c r="DO63" s="169"/>
      <c r="DP63" s="169"/>
      <c r="DQ63" s="169"/>
      <c r="DR63" s="169"/>
      <c r="DS63" s="169"/>
      <c r="DT63" s="169"/>
      <c r="DU63" s="169"/>
      <c r="DV63" s="169"/>
      <c r="DW63" s="169"/>
      <c r="DX63" s="169"/>
      <c r="DY63" s="169"/>
      <c r="DZ63" s="169"/>
      <c r="EA63" s="169"/>
      <c r="EB63" s="169"/>
      <c r="EC63" s="169"/>
      <c r="ED63" s="169"/>
      <c r="EE63" s="169"/>
      <c r="EF63" s="169"/>
      <c r="EG63" s="169"/>
      <c r="EH63" s="169"/>
      <c r="EI63" s="169"/>
      <c r="EJ63" s="169"/>
      <c r="EK63" s="169"/>
      <c r="EL63" s="169"/>
      <c r="EM63" s="169"/>
      <c r="EN63" s="169"/>
      <c r="EO63" s="169"/>
      <c r="EP63" s="169"/>
      <c r="EQ63" s="169"/>
      <c r="ER63" s="169"/>
      <c r="ES63" s="169"/>
      <c r="ET63" s="169"/>
      <c r="EU63" s="169"/>
      <c r="EV63" s="169"/>
      <c r="EW63" s="169"/>
      <c r="EX63" s="169"/>
      <c r="EY63" s="169"/>
      <c r="EZ63" s="169"/>
      <c r="FA63" s="169"/>
      <c r="FB63" s="169"/>
      <c r="FC63" s="169"/>
      <c r="FD63" s="169"/>
      <c r="FE63" s="169"/>
      <c r="FF63" s="169"/>
      <c r="FG63" s="169"/>
      <c r="FH63" s="169"/>
      <c r="FI63" s="169"/>
      <c r="FJ63" s="169"/>
      <c r="FK63" s="169"/>
      <c r="FL63" s="169"/>
      <c r="FM63" s="169"/>
      <c r="FN63" s="169"/>
      <c r="FO63" s="169"/>
      <c r="FP63" s="169"/>
      <c r="FQ63" s="169"/>
      <c r="FR63" s="169"/>
      <c r="FS63" s="169"/>
      <c r="FT63" s="169"/>
      <c r="FU63" s="169"/>
      <c r="FV63" s="169"/>
      <c r="FW63" s="169"/>
      <c r="FX63" s="169"/>
      <c r="FY63" s="169"/>
      <c r="FZ63" s="169"/>
      <c r="GA63" s="169"/>
      <c r="GB63" s="169"/>
      <c r="GC63" s="169"/>
    </row>
    <row r="64" spans="1:185">
      <c r="A64" s="155"/>
      <c r="B64" s="157">
        <v>0.19600000000000001</v>
      </c>
      <c r="C64" s="232"/>
      <c r="E64" s="209"/>
      <c r="G64" s="233"/>
      <c r="H64" s="208"/>
      <c r="I64" s="233"/>
      <c r="J64" s="208"/>
      <c r="K64" s="234"/>
      <c r="L64" s="208"/>
      <c r="M64" s="227"/>
      <c r="N64" s="218"/>
      <c r="P64" s="235" t="s">
        <v>48</v>
      </c>
      <c r="S64" s="228"/>
      <c r="T64" s="228" t="e">
        <f>(U63-T63)/(U62-T62)</f>
        <v>#DIV/0!</v>
      </c>
      <c r="U64" s="228" t="e">
        <f>(V63-U63)/(V62-U62)</f>
        <v>#DIV/0!</v>
      </c>
      <c r="V64" s="228" t="e">
        <f>(W63-V63)/(W62-V62)</f>
        <v>#DIV/0!</v>
      </c>
      <c r="W64" s="228" t="e">
        <f>(X63-W63)/(X62-W62)</f>
        <v>#DIV/0!</v>
      </c>
      <c r="X64" s="228" t="e">
        <f>(Y63-X63)/(Y62-X62)</f>
        <v>#DIV/0!</v>
      </c>
      <c r="Y64" s="228" t="e">
        <f>(Z63-Y63)/(T6_LI-Y62)</f>
        <v>#DIV/0!</v>
      </c>
      <c r="Z64" s="228">
        <f>(AA63-Z63)/(AA62-T6_LI)</f>
        <v>0</v>
      </c>
      <c r="AA64" s="229"/>
      <c r="AC64" s="228"/>
      <c r="AD64" s="228"/>
      <c r="AE64" s="228"/>
      <c r="BF64" s="166"/>
      <c r="BG64" s="166"/>
      <c r="BH64" s="167"/>
      <c r="BM64" s="168"/>
      <c r="BN64" s="169"/>
      <c r="BO64" s="169"/>
      <c r="BP64" s="169"/>
      <c r="BQ64" s="169"/>
      <c r="BR64" s="169"/>
      <c r="BS64" s="169"/>
      <c r="BT64" s="169"/>
      <c r="BU64" s="169"/>
      <c r="BV64" s="169"/>
      <c r="BW64" s="169"/>
      <c r="BX64" s="169"/>
      <c r="BY64" s="169"/>
      <c r="BZ64" s="169"/>
      <c r="CA64" s="169"/>
      <c r="CB64" s="169"/>
      <c r="CC64" s="169"/>
      <c r="CD64" s="169"/>
      <c r="CE64" s="169"/>
      <c r="CF64" s="169"/>
      <c r="CG64" s="169"/>
      <c r="CH64" s="169"/>
      <c r="CI64" s="169"/>
      <c r="CJ64" s="169"/>
      <c r="CK64" s="169"/>
      <c r="CL64" s="169"/>
      <c r="CM64" s="169"/>
      <c r="CN64" s="169"/>
      <c r="CO64" s="169"/>
      <c r="CP64" s="169"/>
      <c r="CQ64" s="169"/>
      <c r="CR64" s="169"/>
      <c r="CS64" s="169"/>
      <c r="CT64" s="169"/>
      <c r="CU64" s="169"/>
      <c r="CV64" s="169"/>
      <c r="CW64" s="169"/>
      <c r="CX64" s="169"/>
      <c r="CY64" s="169"/>
      <c r="CZ64" s="169"/>
      <c r="DA64" s="169"/>
      <c r="DB64" s="169"/>
      <c r="DC64" s="169"/>
      <c r="DD64" s="169"/>
      <c r="DE64" s="169"/>
      <c r="DF64" s="169"/>
      <c r="DG64" s="169"/>
      <c r="DH64" s="169"/>
      <c r="DI64" s="169"/>
      <c r="DJ64" s="169"/>
      <c r="DK64" s="169"/>
      <c r="DL64" s="169"/>
      <c r="DM64" s="169"/>
      <c r="DN64" s="169"/>
      <c r="DO64" s="169"/>
      <c r="DP64" s="169"/>
      <c r="DQ64" s="169"/>
      <c r="DR64" s="169"/>
      <c r="DS64" s="169"/>
      <c r="DT64" s="169"/>
      <c r="DU64" s="169"/>
      <c r="DV64" s="169"/>
      <c r="DW64" s="169"/>
      <c r="DX64" s="169"/>
      <c r="DY64" s="169"/>
      <c r="DZ64" s="169"/>
      <c r="EA64" s="169"/>
      <c r="EB64" s="169"/>
      <c r="EC64" s="169"/>
      <c r="ED64" s="169"/>
      <c r="EE64" s="169"/>
      <c r="EF64" s="169"/>
      <c r="EG64" s="169"/>
      <c r="EH64" s="169"/>
      <c r="EI64" s="169"/>
      <c r="EJ64" s="169"/>
      <c r="EK64" s="169"/>
      <c r="EL64" s="169"/>
      <c r="EM64" s="169"/>
      <c r="EN64" s="169"/>
      <c r="EO64" s="169"/>
      <c r="EP64" s="169"/>
      <c r="EQ64" s="169"/>
      <c r="ER64" s="169"/>
      <c r="ES64" s="169"/>
      <c r="ET64" s="169"/>
      <c r="EU64" s="169"/>
      <c r="EV64" s="169"/>
      <c r="EW64" s="169"/>
      <c r="EX64" s="169"/>
      <c r="EY64" s="169"/>
      <c r="EZ64" s="169"/>
      <c r="FA64" s="169"/>
      <c r="FB64" s="169"/>
      <c r="FC64" s="169"/>
      <c r="FD64" s="169"/>
      <c r="FE64" s="169"/>
      <c r="FF64" s="169"/>
      <c r="FG64" s="169"/>
      <c r="FH64" s="169"/>
      <c r="FI64" s="169"/>
      <c r="FJ64" s="169"/>
      <c r="FK64" s="169"/>
      <c r="FL64" s="169"/>
      <c r="FM64" s="169"/>
      <c r="FN64" s="169"/>
      <c r="FO64" s="169"/>
      <c r="FP64" s="169"/>
      <c r="FQ64" s="169"/>
      <c r="FR64" s="169"/>
      <c r="FS64" s="169"/>
      <c r="FT64" s="169"/>
      <c r="FU64" s="169"/>
      <c r="FV64" s="169"/>
      <c r="FW64" s="169"/>
      <c r="FX64" s="169"/>
      <c r="FY64" s="169"/>
      <c r="FZ64" s="169"/>
      <c r="GA64" s="169"/>
      <c r="GB64" s="169"/>
      <c r="GC64" s="169"/>
    </row>
    <row r="65" spans="1:185">
      <c r="A65" s="155"/>
      <c r="B65" s="156"/>
      <c r="C65" s="157"/>
      <c r="D65" s="152"/>
      <c r="E65" s="208"/>
      <c r="F65" s="208"/>
      <c r="G65" s="208"/>
      <c r="H65" s="208"/>
      <c r="I65" s="208"/>
      <c r="J65" s="208"/>
      <c r="K65" s="208"/>
      <c r="L65" s="208"/>
      <c r="M65" s="227"/>
      <c r="N65" s="218"/>
      <c r="P65" s="236" t="s">
        <v>49</v>
      </c>
      <c r="Q65" s="237"/>
      <c r="R65" s="237"/>
      <c r="S65" s="238"/>
      <c r="T65" s="238">
        <f t="shared" ref="T65:AA65" si="49">T6_CAF_LOTS*T6_TAUX_APF</f>
        <v>0</v>
      </c>
      <c r="U65" s="238">
        <f t="shared" si="49"/>
        <v>0</v>
      </c>
      <c r="V65" s="238">
        <f t="shared" si="49"/>
        <v>0</v>
      </c>
      <c r="W65" s="238">
        <f t="shared" si="49"/>
        <v>0</v>
      </c>
      <c r="X65" s="238">
        <f t="shared" si="49"/>
        <v>0</v>
      </c>
      <c r="Y65" s="238">
        <f t="shared" si="49"/>
        <v>0</v>
      </c>
      <c r="Z65" s="238">
        <f t="shared" si="49"/>
        <v>0</v>
      </c>
      <c r="AA65" s="238">
        <f t="shared" si="49"/>
        <v>0</v>
      </c>
      <c r="AC65" s="228"/>
      <c r="AD65" s="228"/>
      <c r="AE65" s="228"/>
      <c r="BF65" s="166"/>
      <c r="BG65" s="166"/>
      <c r="BH65" s="167"/>
      <c r="BM65" s="168"/>
      <c r="BN65" s="169"/>
      <c r="BO65" s="169"/>
      <c r="BP65" s="169"/>
      <c r="BQ65" s="169"/>
      <c r="BR65" s="169"/>
      <c r="BS65" s="169"/>
      <c r="BT65" s="169"/>
      <c r="BU65" s="169"/>
      <c r="BV65" s="169"/>
      <c r="BW65" s="169"/>
      <c r="BX65" s="169"/>
      <c r="BY65" s="169"/>
      <c r="BZ65" s="169"/>
      <c r="CA65" s="169"/>
      <c r="CB65" s="169"/>
      <c r="CC65" s="169"/>
      <c r="CD65" s="169"/>
      <c r="CE65" s="169"/>
      <c r="CF65" s="169"/>
      <c r="CG65" s="169"/>
      <c r="CH65" s="169"/>
      <c r="CI65" s="169"/>
      <c r="CJ65" s="169"/>
      <c r="CK65" s="169"/>
      <c r="CL65" s="169"/>
      <c r="CM65" s="169"/>
      <c r="CN65" s="169"/>
      <c r="CO65" s="169"/>
      <c r="CP65" s="169"/>
      <c r="CQ65" s="169"/>
      <c r="CR65" s="169"/>
      <c r="CS65" s="169"/>
      <c r="CT65" s="169"/>
      <c r="CU65" s="169"/>
      <c r="CV65" s="169"/>
      <c r="CW65" s="169"/>
      <c r="CX65" s="169"/>
      <c r="CY65" s="169"/>
      <c r="CZ65" s="169"/>
      <c r="DA65" s="169"/>
      <c r="DB65" s="169"/>
      <c r="DC65" s="169"/>
      <c r="DD65" s="169"/>
      <c r="DE65" s="169"/>
      <c r="DF65" s="169"/>
      <c r="DG65" s="169"/>
      <c r="DH65" s="169"/>
      <c r="DI65" s="169"/>
      <c r="DJ65" s="169"/>
      <c r="DK65" s="169"/>
      <c r="DL65" s="169"/>
      <c r="DM65" s="169"/>
      <c r="DN65" s="169"/>
      <c r="DO65" s="169"/>
      <c r="DP65" s="169"/>
      <c r="DQ65" s="169"/>
      <c r="DR65" s="169"/>
      <c r="DS65" s="169"/>
      <c r="DT65" s="169"/>
      <c r="DU65" s="169"/>
      <c r="DV65" s="169"/>
      <c r="DW65" s="169"/>
      <c r="DX65" s="169"/>
      <c r="DY65" s="169"/>
      <c r="DZ65" s="169"/>
      <c r="EA65" s="169"/>
      <c r="EB65" s="169"/>
      <c r="EC65" s="169"/>
      <c r="ED65" s="169"/>
      <c r="EE65" s="169"/>
      <c r="EF65" s="169"/>
      <c r="EG65" s="169"/>
      <c r="EH65" s="169"/>
      <c r="EI65" s="169"/>
      <c r="EJ65" s="169"/>
      <c r="EK65" s="169"/>
      <c r="EL65" s="169"/>
      <c r="EM65" s="169"/>
      <c r="EN65" s="169"/>
      <c r="EO65" s="169"/>
      <c r="EP65" s="169"/>
      <c r="EQ65" s="169"/>
      <c r="ER65" s="169"/>
      <c r="ES65" s="169"/>
      <c r="ET65" s="169"/>
      <c r="EU65" s="169"/>
      <c r="EV65" s="169"/>
      <c r="EW65" s="169"/>
      <c r="EX65" s="169"/>
      <c r="EY65" s="169"/>
      <c r="EZ65" s="169"/>
      <c r="FA65" s="169"/>
      <c r="FB65" s="169"/>
      <c r="FC65" s="169"/>
      <c r="FD65" s="169"/>
      <c r="FE65" s="169"/>
      <c r="FF65" s="169"/>
      <c r="FG65" s="169"/>
      <c r="FH65" s="169"/>
      <c r="FI65" s="169"/>
      <c r="FJ65" s="169"/>
      <c r="FK65" s="169"/>
      <c r="FL65" s="169"/>
      <c r="FM65" s="169"/>
      <c r="FN65" s="169"/>
      <c r="FO65" s="169"/>
      <c r="FP65" s="169"/>
      <c r="FQ65" s="169"/>
      <c r="FR65" s="169"/>
      <c r="FS65" s="169"/>
      <c r="FT65" s="169"/>
      <c r="FU65" s="169"/>
      <c r="FV65" s="169"/>
      <c r="FW65" s="169"/>
      <c r="FX65" s="169"/>
      <c r="FY65" s="169"/>
      <c r="FZ65" s="169"/>
      <c r="GA65" s="169"/>
      <c r="GB65" s="169"/>
      <c r="GC65" s="169"/>
    </row>
    <row r="66" spans="1:185">
      <c r="A66" s="155"/>
      <c r="B66" s="156"/>
      <c r="C66" s="157"/>
      <c r="D66" s="152"/>
      <c r="E66" s="208"/>
      <c r="F66" s="208"/>
      <c r="G66" s="208"/>
      <c r="H66" s="208"/>
      <c r="I66" s="208"/>
      <c r="J66" s="208"/>
      <c r="K66" s="208"/>
      <c r="L66" s="208"/>
      <c r="M66" s="227"/>
      <c r="N66" s="218"/>
      <c r="AC66" s="228"/>
      <c r="AD66" s="228"/>
      <c r="AE66" s="228"/>
      <c r="BF66" s="166"/>
      <c r="BG66" s="166"/>
      <c r="BH66" s="167"/>
      <c r="BM66" s="168"/>
      <c r="BN66" s="169"/>
      <c r="BO66" s="169"/>
      <c r="BP66" s="169"/>
      <c r="BQ66" s="169"/>
      <c r="BR66" s="169"/>
      <c r="BS66" s="169"/>
      <c r="BT66" s="169"/>
      <c r="BU66" s="169"/>
      <c r="BV66" s="169"/>
      <c r="BW66" s="169"/>
      <c r="BX66" s="169"/>
      <c r="BY66" s="169"/>
      <c r="BZ66" s="169"/>
      <c r="CA66" s="169"/>
      <c r="CB66" s="169"/>
      <c r="CC66" s="169"/>
      <c r="CD66" s="169"/>
      <c r="CE66" s="169"/>
      <c r="CF66" s="169"/>
      <c r="CG66" s="169"/>
      <c r="CH66" s="169"/>
      <c r="CI66" s="169"/>
      <c r="CJ66" s="169"/>
      <c r="CK66" s="169"/>
      <c r="CL66" s="169"/>
      <c r="CM66" s="169"/>
      <c r="CN66" s="169"/>
      <c r="CO66" s="169"/>
      <c r="CP66" s="169"/>
      <c r="CQ66" s="169"/>
      <c r="CR66" s="169"/>
      <c r="CS66" s="169"/>
      <c r="CT66" s="169"/>
      <c r="CU66" s="169"/>
      <c r="CV66" s="169"/>
      <c r="CW66" s="169"/>
      <c r="CX66" s="169"/>
      <c r="CY66" s="169"/>
      <c r="CZ66" s="169"/>
      <c r="DA66" s="169"/>
      <c r="DB66" s="169"/>
      <c r="DC66" s="169"/>
      <c r="DD66" s="169"/>
      <c r="DE66" s="169"/>
      <c r="DF66" s="169"/>
      <c r="DG66" s="169"/>
      <c r="DH66" s="169"/>
      <c r="DI66" s="169"/>
      <c r="DJ66" s="169"/>
      <c r="DK66" s="169"/>
      <c r="DL66" s="169"/>
      <c r="DM66" s="169"/>
      <c r="DN66" s="169"/>
      <c r="DO66" s="169"/>
      <c r="DP66" s="169"/>
      <c r="DQ66" s="169"/>
      <c r="DR66" s="169"/>
      <c r="DS66" s="169"/>
      <c r="DT66" s="169"/>
      <c r="DU66" s="169"/>
      <c r="DV66" s="169"/>
      <c r="DW66" s="169"/>
      <c r="DX66" s="169"/>
      <c r="DY66" s="169"/>
      <c r="DZ66" s="169"/>
      <c r="EA66" s="169"/>
      <c r="EB66" s="169"/>
      <c r="EC66" s="169"/>
      <c r="ED66" s="169"/>
      <c r="EE66" s="169"/>
      <c r="EF66" s="169"/>
      <c r="EG66" s="169"/>
      <c r="EH66" s="169"/>
      <c r="EI66" s="169"/>
      <c r="EJ66" s="169"/>
      <c r="EK66" s="169"/>
      <c r="EL66" s="169"/>
      <c r="EM66" s="169"/>
      <c r="EN66" s="169"/>
      <c r="EO66" s="169"/>
      <c r="EP66" s="169"/>
      <c r="EQ66" s="169"/>
      <c r="ER66" s="169"/>
      <c r="ES66" s="169"/>
      <c r="ET66" s="169"/>
      <c r="EU66" s="169"/>
      <c r="EV66" s="169"/>
      <c r="EW66" s="169"/>
      <c r="EX66" s="169"/>
      <c r="EY66" s="169"/>
      <c r="EZ66" s="169"/>
      <c r="FA66" s="169"/>
      <c r="FB66" s="169"/>
      <c r="FC66" s="169"/>
      <c r="FD66" s="169"/>
      <c r="FE66" s="169"/>
      <c r="FF66" s="169"/>
      <c r="FG66" s="169"/>
      <c r="FH66" s="169"/>
      <c r="FI66" s="169"/>
      <c r="FJ66" s="169"/>
      <c r="FK66" s="169"/>
      <c r="FL66" s="169"/>
      <c r="FM66" s="169"/>
      <c r="FN66" s="169"/>
      <c r="FO66" s="169"/>
      <c r="FP66" s="169"/>
      <c r="FQ66" s="169"/>
      <c r="FR66" s="169"/>
      <c r="FS66" s="169"/>
      <c r="FT66" s="169"/>
      <c r="FU66" s="169"/>
      <c r="FV66" s="169"/>
      <c r="FW66" s="169"/>
      <c r="FX66" s="169"/>
      <c r="FY66" s="169"/>
      <c r="FZ66" s="169"/>
      <c r="GA66" s="169"/>
      <c r="GB66" s="169"/>
      <c r="GC66" s="169"/>
    </row>
    <row r="67" spans="1:185" ht="13.8" thickBot="1">
      <c r="A67" s="155" t="s">
        <v>60</v>
      </c>
      <c r="B67" s="156"/>
      <c r="C67" s="244">
        <f>T1_CAF+T2_CAF+T3_CAF+T4_CAF+T5_CAF+T6_CAF</f>
        <v>0</v>
      </c>
      <c r="D67" s="240"/>
      <c r="E67" s="245">
        <f>T1_NBLOTS+T2_NBLOTS+T3_NBLOTS+T4_NBLOTS+T5_NBLOTS+T6_NBLOTS</f>
        <v>0</v>
      </c>
      <c r="F67" s="241"/>
      <c r="G67" s="241"/>
      <c r="H67" s="241"/>
      <c r="I67" s="241"/>
      <c r="J67" s="241"/>
      <c r="K67" s="241"/>
      <c r="L67" s="241"/>
      <c r="M67" s="242"/>
      <c r="N67" s="218"/>
      <c r="P67" s="138"/>
      <c r="S67" s="228"/>
      <c r="T67" s="228"/>
      <c r="U67" s="228"/>
      <c r="V67" s="228"/>
      <c r="W67" s="228"/>
      <c r="X67" s="228"/>
      <c r="Y67" s="228"/>
      <c r="Z67" s="228"/>
      <c r="AA67" s="228"/>
      <c r="AC67" s="228"/>
      <c r="AD67" s="228"/>
      <c r="AE67" s="228"/>
      <c r="BF67" s="166"/>
      <c r="BG67" s="166"/>
      <c r="BH67" s="167"/>
      <c r="BM67" s="168"/>
      <c r="BN67" s="169"/>
      <c r="BO67" s="169"/>
      <c r="BP67" s="169"/>
      <c r="BQ67" s="169"/>
      <c r="BR67" s="169"/>
      <c r="BS67" s="169"/>
      <c r="BT67" s="169"/>
      <c r="BU67" s="169"/>
      <c r="BV67" s="169"/>
      <c r="BW67" s="169"/>
      <c r="BX67" s="169"/>
      <c r="BY67" s="169"/>
      <c r="BZ67" s="169"/>
      <c r="CA67" s="169"/>
      <c r="CB67" s="169"/>
      <c r="CC67" s="169"/>
      <c r="CD67" s="169"/>
      <c r="CE67" s="169"/>
      <c r="CF67" s="169"/>
      <c r="CG67" s="169"/>
      <c r="CH67" s="169"/>
      <c r="CI67" s="169"/>
      <c r="CJ67" s="169"/>
      <c r="CK67" s="169"/>
      <c r="CL67" s="169"/>
      <c r="CM67" s="169"/>
      <c r="CN67" s="169"/>
      <c r="CO67" s="169"/>
      <c r="CP67" s="169"/>
      <c r="CQ67" s="169"/>
      <c r="CR67" s="169"/>
      <c r="CS67" s="169"/>
      <c r="CT67" s="169"/>
      <c r="CU67" s="169"/>
      <c r="CV67" s="169"/>
      <c r="CW67" s="169"/>
      <c r="CX67" s="169"/>
      <c r="CY67" s="169"/>
      <c r="CZ67" s="169"/>
      <c r="DA67" s="169"/>
      <c r="DB67" s="169"/>
      <c r="DC67" s="169"/>
      <c r="DD67" s="169"/>
      <c r="DE67" s="169"/>
      <c r="DF67" s="169"/>
      <c r="DG67" s="169"/>
      <c r="DH67" s="169"/>
      <c r="DI67" s="169"/>
      <c r="DJ67" s="169"/>
      <c r="DK67" s="169"/>
      <c r="DL67" s="169"/>
      <c r="DM67" s="169"/>
      <c r="DN67" s="169"/>
      <c r="DO67" s="169"/>
      <c r="DP67" s="169"/>
      <c r="DQ67" s="169"/>
      <c r="DR67" s="169"/>
      <c r="DS67" s="169"/>
      <c r="DT67" s="169"/>
      <c r="DU67" s="169"/>
      <c r="DV67" s="169"/>
      <c r="DW67" s="169"/>
      <c r="DX67" s="169"/>
      <c r="DY67" s="169"/>
      <c r="DZ67" s="169"/>
      <c r="EA67" s="169"/>
      <c r="EB67" s="169"/>
      <c r="EC67" s="169"/>
      <c r="ED67" s="169"/>
      <c r="EE67" s="169"/>
      <c r="EF67" s="169"/>
      <c r="EG67" s="169"/>
      <c r="EH67" s="169"/>
      <c r="EI67" s="169"/>
      <c r="EJ67" s="169"/>
      <c r="EK67" s="169"/>
      <c r="EL67" s="169"/>
      <c r="EM67" s="169"/>
      <c r="EN67" s="169"/>
      <c r="EO67" s="169"/>
      <c r="EP67" s="169"/>
      <c r="EQ67" s="169"/>
      <c r="ER67" s="169"/>
      <c r="ES67" s="169"/>
      <c r="ET67" s="169"/>
      <c r="EU67" s="169"/>
      <c r="EV67" s="169"/>
      <c r="EW67" s="169"/>
      <c r="EX67" s="169"/>
      <c r="EY67" s="169"/>
      <c r="EZ67" s="169"/>
      <c r="FA67" s="169"/>
      <c r="FB67" s="169"/>
      <c r="FC67" s="169"/>
      <c r="FD67" s="169"/>
      <c r="FE67" s="169"/>
      <c r="FF67" s="169"/>
      <c r="FG67" s="169"/>
      <c r="FH67" s="169"/>
      <c r="FI67" s="169"/>
      <c r="FJ67" s="169"/>
      <c r="FK67" s="169"/>
      <c r="FL67" s="169"/>
      <c r="FM67" s="169"/>
      <c r="FN67" s="169"/>
      <c r="FO67" s="169"/>
      <c r="FP67" s="169"/>
      <c r="FQ67" s="169"/>
      <c r="FR67" s="169"/>
      <c r="FS67" s="169"/>
      <c r="FT67" s="169"/>
      <c r="FU67" s="169"/>
      <c r="FV67" s="169"/>
      <c r="FW67" s="169"/>
      <c r="FX67" s="169"/>
      <c r="FY67" s="169"/>
      <c r="FZ67" s="169"/>
      <c r="GA67" s="169"/>
      <c r="GB67" s="169"/>
      <c r="GC67" s="169"/>
    </row>
    <row r="68" spans="1:185" ht="13.8" thickBot="1">
      <c r="A68" s="149" t="s">
        <v>483</v>
      </c>
      <c r="B68" s="150"/>
      <c r="C68" s="157"/>
      <c r="D68" s="152"/>
      <c r="BF68" s="166"/>
      <c r="BG68" s="166"/>
      <c r="BH68" s="167"/>
      <c r="BM68" s="153"/>
      <c r="BN68" s="154"/>
      <c r="BO68" s="154"/>
      <c r="BP68" s="154"/>
      <c r="BQ68" s="154"/>
      <c r="BR68" s="154"/>
      <c r="BS68" s="154"/>
      <c r="BT68" s="154"/>
      <c r="BU68" s="154"/>
      <c r="BV68" s="154"/>
      <c r="BW68" s="154"/>
      <c r="BX68" s="154"/>
      <c r="BY68" s="154"/>
      <c r="BZ68" s="154"/>
      <c r="CA68" s="154"/>
      <c r="CB68" s="154"/>
      <c r="CC68" s="154"/>
      <c r="CD68" s="154"/>
      <c r="CE68" s="154"/>
      <c r="CF68" s="154"/>
      <c r="CG68" s="154"/>
      <c r="CH68" s="154"/>
      <c r="CI68" s="154"/>
      <c r="CJ68" s="154"/>
      <c r="CK68" s="154"/>
      <c r="CL68" s="154"/>
      <c r="CM68" s="154"/>
      <c r="CN68" s="154"/>
      <c r="CO68" s="154"/>
      <c r="CP68" s="154"/>
      <c r="CQ68" s="154"/>
      <c r="CR68" s="154"/>
      <c r="CS68" s="154"/>
      <c r="CT68" s="154"/>
      <c r="CU68" s="154"/>
      <c r="CV68" s="154"/>
      <c r="CW68" s="154"/>
      <c r="CX68" s="154"/>
      <c r="CY68" s="154"/>
      <c r="CZ68" s="154"/>
      <c r="DA68" s="154"/>
      <c r="DB68" s="154"/>
      <c r="DC68" s="154"/>
      <c r="DD68" s="154"/>
      <c r="DE68" s="154"/>
      <c r="DF68" s="154"/>
      <c r="DG68" s="154"/>
      <c r="DH68" s="154"/>
      <c r="DI68" s="154"/>
      <c r="DJ68" s="154"/>
      <c r="DK68" s="154"/>
      <c r="DL68" s="154"/>
      <c r="DM68" s="154"/>
      <c r="DN68" s="154"/>
      <c r="DO68" s="154"/>
      <c r="DP68" s="154"/>
      <c r="DQ68" s="154"/>
      <c r="DR68" s="154"/>
      <c r="DS68" s="154"/>
      <c r="DT68" s="154"/>
      <c r="DU68" s="154"/>
      <c r="DV68" s="154"/>
      <c r="DW68" s="154"/>
      <c r="DX68" s="154"/>
      <c r="DY68" s="154"/>
      <c r="DZ68" s="154"/>
      <c r="EA68" s="154"/>
      <c r="EB68" s="154"/>
      <c r="EC68" s="154"/>
      <c r="ED68" s="154"/>
      <c r="EE68" s="154"/>
      <c r="EF68" s="154"/>
      <c r="EG68" s="154"/>
      <c r="EH68" s="154"/>
      <c r="EI68" s="154"/>
      <c r="EJ68" s="154"/>
      <c r="EK68" s="154"/>
      <c r="EL68" s="154"/>
      <c r="EM68" s="154"/>
      <c r="EN68" s="154"/>
      <c r="EO68" s="154"/>
      <c r="EP68" s="154"/>
      <c r="EQ68" s="154"/>
      <c r="ER68" s="154"/>
      <c r="ES68" s="154"/>
      <c r="ET68" s="154"/>
      <c r="EU68" s="154"/>
      <c r="EV68" s="154"/>
      <c r="EW68" s="154"/>
      <c r="EX68" s="154"/>
      <c r="EY68" s="154"/>
      <c r="EZ68" s="154"/>
      <c r="FA68" s="154"/>
      <c r="FB68" s="154"/>
      <c r="FC68" s="154"/>
      <c r="FD68" s="154"/>
      <c r="FE68" s="154"/>
      <c r="FF68" s="154"/>
      <c r="FG68" s="154"/>
      <c r="FH68" s="154"/>
      <c r="FI68" s="154"/>
      <c r="FJ68" s="154"/>
      <c r="FK68" s="154"/>
      <c r="FL68" s="154"/>
      <c r="FM68" s="154"/>
      <c r="FN68" s="154"/>
      <c r="FO68" s="154"/>
      <c r="FP68" s="154"/>
      <c r="FQ68" s="154"/>
      <c r="FR68" s="154"/>
      <c r="FS68" s="154"/>
      <c r="FT68" s="154"/>
      <c r="FU68" s="154"/>
      <c r="FV68" s="154"/>
      <c r="FW68" s="154"/>
      <c r="FX68" s="154"/>
      <c r="FY68" s="154"/>
      <c r="FZ68" s="154"/>
      <c r="GA68" s="154"/>
      <c r="GB68" s="154"/>
      <c r="GC68" s="154"/>
    </row>
    <row r="69" spans="1:185">
      <c r="A69" s="155" t="s">
        <v>61</v>
      </c>
      <c r="B69" s="156"/>
      <c r="C69" s="157">
        <v>0.19600000000000001</v>
      </c>
      <c r="D69" s="246"/>
      <c r="E69" s="247"/>
      <c r="F69" s="248"/>
      <c r="G69" s="247">
        <v>0</v>
      </c>
      <c r="H69" s="248"/>
      <c r="I69" s="220">
        <v>0</v>
      </c>
      <c r="J69" s="249"/>
      <c r="K69" s="220">
        <v>0</v>
      </c>
      <c r="L69" s="249"/>
      <c r="M69" s="220">
        <v>0</v>
      </c>
      <c r="N69" s="162"/>
      <c r="O69" s="138"/>
      <c r="P69" s="163">
        <f t="shared" ref="P69:P74" si="50">IF(D69&lt;&gt;0,YEAR(D69)*12+MONTH(D69),0)</f>
        <v>0</v>
      </c>
      <c r="Q69" s="164">
        <f t="shared" ref="Q69:Q74" si="51">IF(F69&lt;&gt;0,YEAR(F69)*12+MONTH(F69),0)</f>
        <v>0</v>
      </c>
      <c r="R69" s="164">
        <f t="shared" ref="R69:R74" si="52">IF(H69&lt;&gt;0,YEAR(H69)*12+MONTH(H69),0)</f>
        <v>0</v>
      </c>
      <c r="S69" s="164">
        <f t="shared" ref="S69:S74" si="53">IF(J69&lt;&gt;0,YEAR(J69)*12+MONTH(J69),0)</f>
        <v>0</v>
      </c>
      <c r="T69" s="165">
        <f t="shared" ref="T69:T74" si="54">IF(L69&lt;&gt;0,YEAR(L69)*12+MONTH(L69),0)</f>
        <v>0</v>
      </c>
      <c r="BF69" s="166">
        <f t="shared" ref="BF69:BF74" si="55">BG69/(1+C69)</f>
        <v>0</v>
      </c>
      <c r="BG69" s="166">
        <f t="shared" ref="BG69:BG74" si="56">E69+G69+I69+K69+M69</f>
        <v>0</v>
      </c>
      <c r="BH69" s="167">
        <f t="shared" ref="BH69:BH74" si="57">BG69-BF69</f>
        <v>0</v>
      </c>
      <c r="BM69" s="168" t="e">
        <f t="shared" ref="BM69:BN76" si="58">IF(BM$3&gt;=$P69,$E69,0)+IF(BM$3&gt;=$Q69,$G69,0)+IF(BM$3&gt;=$R69,$I69,0)+IF(BM$3&gt;=$S69,$K69,0)+IF(BM$3&gt;=$T69,$M69,0)</f>
        <v>#VALUE!</v>
      </c>
      <c r="BN69" s="169" t="e">
        <f t="shared" si="58"/>
        <v>#VALUE!</v>
      </c>
      <c r="BO69" s="169"/>
      <c r="BP69" s="169"/>
      <c r="BQ69" s="169"/>
      <c r="BR69" s="169"/>
      <c r="BS69" s="169"/>
      <c r="BT69" s="169"/>
      <c r="BU69" s="169"/>
      <c r="BV69" s="169"/>
      <c r="BW69" s="169"/>
      <c r="BX69" s="169"/>
      <c r="BY69" s="169"/>
      <c r="BZ69" s="169"/>
      <c r="CA69" s="169"/>
      <c r="CB69" s="169"/>
      <c r="CC69" s="169"/>
      <c r="CD69" s="169"/>
      <c r="CE69" s="169"/>
      <c r="CF69" s="169"/>
      <c r="CG69" s="169"/>
      <c r="CH69" s="169"/>
      <c r="CI69" s="169"/>
      <c r="CJ69" s="169"/>
      <c r="CK69" s="169"/>
      <c r="CL69" s="169"/>
      <c r="CM69" s="169"/>
      <c r="CN69" s="169"/>
      <c r="CO69" s="169"/>
      <c r="CP69" s="169"/>
      <c r="CQ69" s="169"/>
      <c r="CR69" s="169"/>
      <c r="CS69" s="169"/>
      <c r="CT69" s="169"/>
      <c r="CU69" s="169"/>
      <c r="CV69" s="169"/>
      <c r="CW69" s="169"/>
      <c r="CX69" s="169"/>
      <c r="CY69" s="169"/>
      <c r="CZ69" s="169"/>
      <c r="DA69" s="169"/>
      <c r="DB69" s="169"/>
      <c r="DC69" s="169"/>
      <c r="DD69" s="169"/>
      <c r="DE69" s="169"/>
      <c r="DF69" s="169"/>
      <c r="DG69" s="169"/>
      <c r="DH69" s="169"/>
      <c r="DI69" s="169"/>
      <c r="DJ69" s="169"/>
      <c r="DK69" s="169"/>
      <c r="DL69" s="169"/>
      <c r="DM69" s="169"/>
      <c r="DN69" s="169"/>
      <c r="DO69" s="169"/>
      <c r="DP69" s="169"/>
      <c r="DQ69" s="169"/>
      <c r="DR69" s="169"/>
      <c r="DS69" s="169"/>
      <c r="DT69" s="169"/>
      <c r="DU69" s="169"/>
      <c r="DV69" s="169"/>
      <c r="DW69" s="169"/>
      <c r="DX69" s="169"/>
      <c r="DY69" s="169"/>
      <c r="DZ69" s="169"/>
      <c r="EA69" s="169"/>
      <c r="EB69" s="169"/>
      <c r="EC69" s="169"/>
      <c r="ED69" s="169"/>
      <c r="EE69" s="169"/>
      <c r="EF69" s="169"/>
      <c r="EG69" s="169"/>
      <c r="EH69" s="169"/>
      <c r="EI69" s="169"/>
      <c r="EJ69" s="169"/>
      <c r="EK69" s="169"/>
      <c r="EL69" s="169"/>
      <c r="EM69" s="169"/>
      <c r="EN69" s="169"/>
      <c r="EO69" s="169"/>
      <c r="EP69" s="169"/>
      <c r="EQ69" s="169"/>
      <c r="ER69" s="169"/>
      <c r="ES69" s="169"/>
      <c r="ET69" s="169"/>
      <c r="EU69" s="169"/>
      <c r="EV69" s="169"/>
      <c r="EW69" s="169"/>
      <c r="EX69" s="169"/>
      <c r="EY69" s="169"/>
      <c r="EZ69" s="169"/>
      <c r="FA69" s="169"/>
      <c r="FB69" s="169"/>
      <c r="FC69" s="169"/>
      <c r="FD69" s="169"/>
      <c r="FE69" s="169"/>
      <c r="FF69" s="169"/>
      <c r="FG69" s="169"/>
      <c r="FH69" s="169"/>
      <c r="FI69" s="169"/>
      <c r="FJ69" s="169"/>
      <c r="FK69" s="169"/>
      <c r="FL69" s="169"/>
      <c r="FM69" s="169"/>
      <c r="FN69" s="169"/>
      <c r="FO69" s="169"/>
      <c r="FP69" s="169"/>
      <c r="FQ69" s="169"/>
      <c r="FR69" s="169"/>
      <c r="FS69" s="169"/>
      <c r="FT69" s="169"/>
      <c r="FU69" s="169"/>
      <c r="FV69" s="169"/>
      <c r="FW69" s="169"/>
      <c r="FX69" s="169"/>
      <c r="FY69" s="169"/>
      <c r="FZ69" s="169"/>
      <c r="GA69" s="169"/>
      <c r="GB69" s="169"/>
      <c r="GC69" s="169"/>
    </row>
    <row r="70" spans="1:185">
      <c r="A70" s="155" t="s">
        <v>62</v>
      </c>
      <c r="B70" s="156"/>
      <c r="C70" s="157">
        <v>0.19600000000000001</v>
      </c>
      <c r="D70" s="250"/>
      <c r="E70" s="235"/>
      <c r="F70" s="185"/>
      <c r="G70" s="235">
        <v>0</v>
      </c>
      <c r="H70" s="185"/>
      <c r="I70" s="166">
        <v>0</v>
      </c>
      <c r="J70" s="251"/>
      <c r="K70" s="166">
        <v>0</v>
      </c>
      <c r="L70" s="251"/>
      <c r="M70" s="166">
        <v>0</v>
      </c>
      <c r="N70" s="162"/>
      <c r="O70" s="138"/>
      <c r="P70" s="174">
        <f t="shared" si="50"/>
        <v>0</v>
      </c>
      <c r="Q70" s="132">
        <f t="shared" si="51"/>
        <v>0</v>
      </c>
      <c r="R70" s="132">
        <f t="shared" si="52"/>
        <v>0</v>
      </c>
      <c r="S70" s="132">
        <f t="shared" si="53"/>
        <v>0</v>
      </c>
      <c r="T70" s="156">
        <f t="shared" si="54"/>
        <v>0</v>
      </c>
      <c r="BF70" s="166">
        <f t="shared" si="55"/>
        <v>0</v>
      </c>
      <c r="BG70" s="166">
        <f t="shared" si="56"/>
        <v>0</v>
      </c>
      <c r="BH70" s="167">
        <f t="shared" si="57"/>
        <v>0</v>
      </c>
      <c r="BM70" s="168" t="e">
        <f t="shared" si="58"/>
        <v>#VALUE!</v>
      </c>
      <c r="BN70" s="169" t="e">
        <f t="shared" si="58"/>
        <v>#VALUE!</v>
      </c>
      <c r="BO70" s="169"/>
      <c r="BP70" s="169"/>
      <c r="BQ70" s="169"/>
      <c r="BR70" s="169"/>
      <c r="BS70" s="169"/>
      <c r="BT70" s="169"/>
      <c r="BU70" s="169"/>
      <c r="BV70" s="169"/>
      <c r="BW70" s="169"/>
      <c r="BX70" s="169"/>
      <c r="BY70" s="169"/>
      <c r="BZ70" s="169"/>
      <c r="CA70" s="169"/>
      <c r="CB70" s="169"/>
      <c r="CC70" s="169"/>
      <c r="CD70" s="169"/>
      <c r="CE70" s="169"/>
      <c r="CF70" s="169"/>
      <c r="CG70" s="169"/>
      <c r="CH70" s="169"/>
      <c r="CI70" s="169"/>
      <c r="CJ70" s="169"/>
      <c r="CK70" s="169"/>
      <c r="CL70" s="169"/>
      <c r="CM70" s="169"/>
      <c r="CN70" s="169"/>
      <c r="CO70" s="169"/>
      <c r="CP70" s="169"/>
      <c r="CQ70" s="169"/>
      <c r="CR70" s="169"/>
      <c r="CS70" s="169"/>
      <c r="CT70" s="169"/>
      <c r="CU70" s="169"/>
      <c r="CV70" s="169"/>
      <c r="CW70" s="169"/>
      <c r="CX70" s="169"/>
      <c r="CY70" s="169"/>
      <c r="CZ70" s="169"/>
      <c r="DA70" s="169"/>
      <c r="DB70" s="169"/>
      <c r="DC70" s="169"/>
      <c r="DD70" s="169"/>
      <c r="DE70" s="169"/>
      <c r="DF70" s="169"/>
      <c r="DG70" s="169"/>
      <c r="DH70" s="169"/>
      <c r="DI70" s="169"/>
      <c r="DJ70" s="169"/>
      <c r="DK70" s="169"/>
      <c r="DL70" s="169"/>
      <c r="DM70" s="169"/>
      <c r="DN70" s="169"/>
      <c r="DO70" s="169"/>
      <c r="DP70" s="169"/>
      <c r="DQ70" s="169"/>
      <c r="DR70" s="169"/>
      <c r="DS70" s="169"/>
      <c r="DT70" s="169"/>
      <c r="DU70" s="169"/>
      <c r="DV70" s="169"/>
      <c r="DW70" s="169"/>
      <c r="DX70" s="169"/>
      <c r="DY70" s="169"/>
      <c r="DZ70" s="169"/>
      <c r="EA70" s="169"/>
      <c r="EB70" s="169"/>
      <c r="EC70" s="169"/>
      <c r="ED70" s="169"/>
      <c r="EE70" s="169"/>
      <c r="EF70" s="169"/>
      <c r="EG70" s="169"/>
      <c r="EH70" s="169"/>
      <c r="EI70" s="169"/>
      <c r="EJ70" s="169"/>
      <c r="EK70" s="169"/>
      <c r="EL70" s="169"/>
      <c r="EM70" s="169"/>
      <c r="EN70" s="169"/>
      <c r="EO70" s="169"/>
      <c r="EP70" s="169"/>
      <c r="EQ70" s="169"/>
      <c r="ER70" s="169"/>
      <c r="ES70" s="169"/>
      <c r="ET70" s="169"/>
      <c r="EU70" s="169"/>
      <c r="EV70" s="169"/>
      <c r="EW70" s="169"/>
      <c r="EX70" s="169"/>
      <c r="EY70" s="169"/>
      <c r="EZ70" s="169"/>
      <c r="FA70" s="169"/>
      <c r="FB70" s="169"/>
      <c r="FC70" s="169"/>
      <c r="FD70" s="169"/>
      <c r="FE70" s="169"/>
      <c r="FF70" s="169"/>
      <c r="FG70" s="169"/>
      <c r="FH70" s="169"/>
      <c r="FI70" s="169"/>
      <c r="FJ70" s="169"/>
      <c r="FK70" s="169"/>
      <c r="FL70" s="169"/>
      <c r="FM70" s="169"/>
      <c r="FN70" s="169"/>
      <c r="FO70" s="169"/>
      <c r="FP70" s="169"/>
      <c r="FQ70" s="169"/>
      <c r="FR70" s="169"/>
      <c r="FS70" s="169"/>
      <c r="FT70" s="169"/>
      <c r="FU70" s="169"/>
      <c r="FV70" s="169"/>
      <c r="FW70" s="169"/>
      <c r="FX70" s="169"/>
      <c r="FY70" s="169"/>
      <c r="FZ70" s="169"/>
      <c r="GA70" s="169"/>
      <c r="GB70" s="169"/>
      <c r="GC70" s="169"/>
    </row>
    <row r="71" spans="1:185">
      <c r="A71" s="155" t="s">
        <v>63</v>
      </c>
      <c r="B71" s="156"/>
      <c r="C71" s="157">
        <v>0.19600000000000001</v>
      </c>
      <c r="D71" s="250"/>
      <c r="E71" s="235"/>
      <c r="F71" s="185"/>
      <c r="G71" s="235">
        <v>0</v>
      </c>
      <c r="H71" s="185"/>
      <c r="I71" s="166">
        <v>0</v>
      </c>
      <c r="J71" s="251"/>
      <c r="K71" s="166">
        <v>0</v>
      </c>
      <c r="L71" s="251"/>
      <c r="M71" s="166">
        <v>0</v>
      </c>
      <c r="N71" s="162"/>
      <c r="O71" s="138"/>
      <c r="P71" s="174">
        <f t="shared" si="50"/>
        <v>0</v>
      </c>
      <c r="Q71" s="132">
        <f t="shared" si="51"/>
        <v>0</v>
      </c>
      <c r="R71" s="132">
        <f t="shared" si="52"/>
        <v>0</v>
      </c>
      <c r="S71" s="132">
        <f t="shared" si="53"/>
        <v>0</v>
      </c>
      <c r="T71" s="156">
        <f t="shared" si="54"/>
        <v>0</v>
      </c>
      <c r="BF71" s="166">
        <f t="shared" si="55"/>
        <v>0</v>
      </c>
      <c r="BG71" s="166">
        <f t="shared" si="56"/>
        <v>0</v>
      </c>
      <c r="BH71" s="167">
        <f t="shared" si="57"/>
        <v>0</v>
      </c>
      <c r="BM71" s="168" t="e">
        <f t="shared" si="58"/>
        <v>#VALUE!</v>
      </c>
      <c r="BN71" s="169" t="e">
        <f t="shared" si="58"/>
        <v>#VALUE!</v>
      </c>
      <c r="BO71" s="169"/>
      <c r="BP71" s="169"/>
      <c r="BQ71" s="169"/>
      <c r="BR71" s="169"/>
      <c r="BS71" s="169"/>
      <c r="BT71" s="169"/>
      <c r="BU71" s="169"/>
      <c r="BV71" s="169"/>
      <c r="BW71" s="169"/>
      <c r="BX71" s="169"/>
      <c r="BY71" s="169"/>
      <c r="BZ71" s="169"/>
      <c r="CA71" s="169"/>
      <c r="CB71" s="169"/>
      <c r="CC71" s="169"/>
      <c r="CD71" s="169"/>
      <c r="CE71" s="169"/>
      <c r="CF71" s="169"/>
      <c r="CG71" s="169"/>
      <c r="CH71" s="169"/>
      <c r="CI71" s="169"/>
      <c r="CJ71" s="169"/>
      <c r="CK71" s="169"/>
      <c r="CL71" s="169"/>
      <c r="CM71" s="169"/>
      <c r="CN71" s="169"/>
      <c r="CO71" s="169"/>
      <c r="CP71" s="169"/>
      <c r="CQ71" s="169"/>
      <c r="CR71" s="169"/>
      <c r="CS71" s="169"/>
      <c r="CT71" s="169"/>
      <c r="CU71" s="169"/>
      <c r="CV71" s="169"/>
      <c r="CW71" s="169"/>
      <c r="CX71" s="169"/>
      <c r="CY71" s="169"/>
      <c r="CZ71" s="169"/>
      <c r="DA71" s="169"/>
      <c r="DB71" s="169"/>
      <c r="DC71" s="169"/>
      <c r="DD71" s="169"/>
      <c r="DE71" s="169"/>
      <c r="DF71" s="169"/>
      <c r="DG71" s="169"/>
      <c r="DH71" s="169"/>
      <c r="DI71" s="169"/>
      <c r="DJ71" s="169"/>
      <c r="DK71" s="169"/>
      <c r="DL71" s="169"/>
      <c r="DM71" s="169"/>
      <c r="DN71" s="169"/>
      <c r="DO71" s="169"/>
      <c r="DP71" s="169"/>
      <c r="DQ71" s="169"/>
      <c r="DR71" s="169"/>
      <c r="DS71" s="169"/>
      <c r="DT71" s="169"/>
      <c r="DU71" s="169"/>
      <c r="DV71" s="169"/>
      <c r="DW71" s="169"/>
      <c r="DX71" s="169"/>
      <c r="DY71" s="169"/>
      <c r="DZ71" s="169"/>
      <c r="EA71" s="169"/>
      <c r="EB71" s="169"/>
      <c r="EC71" s="169"/>
      <c r="ED71" s="169"/>
      <c r="EE71" s="169"/>
      <c r="EF71" s="169"/>
      <c r="EG71" s="169"/>
      <c r="EH71" s="169"/>
      <c r="EI71" s="169"/>
      <c r="EJ71" s="169"/>
      <c r="EK71" s="169"/>
      <c r="EL71" s="169"/>
      <c r="EM71" s="169"/>
      <c r="EN71" s="169"/>
      <c r="EO71" s="169"/>
      <c r="EP71" s="169"/>
      <c r="EQ71" s="169"/>
      <c r="ER71" s="169"/>
      <c r="ES71" s="169"/>
      <c r="ET71" s="169"/>
      <c r="EU71" s="169"/>
      <c r="EV71" s="169"/>
      <c r="EW71" s="169"/>
      <c r="EX71" s="169"/>
      <c r="EY71" s="169"/>
      <c r="EZ71" s="169"/>
      <c r="FA71" s="169"/>
      <c r="FB71" s="169"/>
      <c r="FC71" s="169"/>
      <c r="FD71" s="169"/>
      <c r="FE71" s="169"/>
      <c r="FF71" s="169"/>
      <c r="FG71" s="169"/>
      <c r="FH71" s="169"/>
      <c r="FI71" s="169"/>
      <c r="FJ71" s="169"/>
      <c r="FK71" s="169"/>
      <c r="FL71" s="169"/>
      <c r="FM71" s="169"/>
      <c r="FN71" s="169"/>
      <c r="FO71" s="169"/>
      <c r="FP71" s="169"/>
      <c r="FQ71" s="169"/>
      <c r="FR71" s="169"/>
      <c r="FS71" s="169"/>
      <c r="FT71" s="169"/>
      <c r="FU71" s="169"/>
      <c r="FV71" s="169"/>
      <c r="FW71" s="169"/>
      <c r="FX71" s="169"/>
      <c r="FY71" s="169"/>
      <c r="FZ71" s="169"/>
      <c r="GA71" s="169"/>
      <c r="GB71" s="169"/>
      <c r="GC71" s="169"/>
    </row>
    <row r="72" spans="1:185">
      <c r="A72" s="155" t="s">
        <v>478</v>
      </c>
      <c r="B72" s="156"/>
      <c r="C72" s="157">
        <v>0</v>
      </c>
      <c r="D72" s="250"/>
      <c r="E72" s="235"/>
      <c r="F72" s="185"/>
      <c r="G72" s="235"/>
      <c r="H72" s="185"/>
      <c r="I72" s="166"/>
      <c r="J72" s="251"/>
      <c r="K72" s="166"/>
      <c r="L72" s="251"/>
      <c r="M72" s="166"/>
      <c r="N72" s="162"/>
      <c r="O72" s="138"/>
      <c r="P72" s="174">
        <f t="shared" si="50"/>
        <v>0</v>
      </c>
      <c r="Q72" s="132">
        <f t="shared" si="51"/>
        <v>0</v>
      </c>
      <c r="R72" s="132">
        <f t="shared" si="52"/>
        <v>0</v>
      </c>
      <c r="S72" s="132">
        <f t="shared" si="53"/>
        <v>0</v>
      </c>
      <c r="T72" s="156">
        <f t="shared" si="54"/>
        <v>0</v>
      </c>
      <c r="BF72" s="166">
        <f t="shared" si="55"/>
        <v>0</v>
      </c>
      <c r="BG72" s="166">
        <f t="shared" si="56"/>
        <v>0</v>
      </c>
      <c r="BH72" s="167">
        <f t="shared" si="57"/>
        <v>0</v>
      </c>
      <c r="BM72" s="168" t="e">
        <f t="shared" si="58"/>
        <v>#VALUE!</v>
      </c>
      <c r="BN72" s="169" t="e">
        <f t="shared" si="58"/>
        <v>#VALUE!</v>
      </c>
      <c r="BO72" s="169"/>
      <c r="BP72" s="169"/>
      <c r="BQ72" s="169"/>
      <c r="BR72" s="169"/>
      <c r="BS72" s="169"/>
      <c r="BT72" s="169"/>
      <c r="BU72" s="169"/>
      <c r="BV72" s="169"/>
      <c r="BW72" s="169"/>
      <c r="BX72" s="169"/>
      <c r="BY72" s="169"/>
      <c r="BZ72" s="169"/>
      <c r="CA72" s="169"/>
      <c r="CB72" s="169"/>
      <c r="CC72" s="169"/>
      <c r="CD72" s="169"/>
      <c r="CE72" s="169"/>
      <c r="CF72" s="169"/>
      <c r="CG72" s="169"/>
      <c r="CH72" s="169"/>
      <c r="CI72" s="169"/>
      <c r="CJ72" s="169"/>
      <c r="CK72" s="169"/>
      <c r="CL72" s="169"/>
      <c r="CM72" s="169"/>
      <c r="CN72" s="169"/>
      <c r="CO72" s="169"/>
      <c r="CP72" s="169"/>
      <c r="CQ72" s="169"/>
      <c r="CR72" s="169"/>
      <c r="CS72" s="169"/>
      <c r="CT72" s="169"/>
      <c r="CU72" s="169"/>
      <c r="CV72" s="169"/>
      <c r="CW72" s="169"/>
      <c r="CX72" s="169"/>
      <c r="CY72" s="169"/>
      <c r="CZ72" s="169"/>
      <c r="DA72" s="169"/>
      <c r="DB72" s="169"/>
      <c r="DC72" s="169"/>
      <c r="DD72" s="169"/>
      <c r="DE72" s="169"/>
      <c r="DF72" s="169"/>
      <c r="DG72" s="169"/>
      <c r="DH72" s="169"/>
      <c r="DI72" s="169"/>
      <c r="DJ72" s="169"/>
      <c r="DK72" s="169"/>
      <c r="DL72" s="169"/>
      <c r="DM72" s="169"/>
      <c r="DN72" s="169"/>
      <c r="DO72" s="169"/>
      <c r="DP72" s="169"/>
      <c r="DQ72" s="169"/>
      <c r="DR72" s="169"/>
      <c r="DS72" s="169"/>
      <c r="DT72" s="169"/>
      <c r="DU72" s="169"/>
      <c r="DV72" s="169"/>
      <c r="DW72" s="169"/>
      <c r="DX72" s="169"/>
      <c r="DY72" s="169"/>
      <c r="DZ72" s="169"/>
      <c r="EA72" s="169"/>
      <c r="EB72" s="169"/>
      <c r="EC72" s="169"/>
      <c r="ED72" s="169"/>
      <c r="EE72" s="169"/>
      <c r="EF72" s="169"/>
      <c r="EG72" s="169"/>
      <c r="EH72" s="169"/>
      <c r="EI72" s="169"/>
      <c r="EJ72" s="169"/>
      <c r="EK72" s="169"/>
      <c r="EL72" s="169"/>
      <c r="EM72" s="169"/>
      <c r="EN72" s="169"/>
      <c r="EO72" s="169"/>
      <c r="EP72" s="169"/>
      <c r="EQ72" s="169"/>
      <c r="ER72" s="169"/>
      <c r="ES72" s="169"/>
      <c r="ET72" s="169"/>
      <c r="EU72" s="169"/>
      <c r="EV72" s="169"/>
      <c r="EW72" s="169"/>
      <c r="EX72" s="169"/>
      <c r="EY72" s="169"/>
      <c r="EZ72" s="169"/>
      <c r="FA72" s="169"/>
      <c r="FB72" s="169"/>
      <c r="FC72" s="169"/>
      <c r="FD72" s="169"/>
      <c r="FE72" s="169"/>
      <c r="FF72" s="169"/>
      <c r="FG72" s="169"/>
      <c r="FH72" s="169"/>
      <c r="FI72" s="169"/>
      <c r="FJ72" s="169"/>
      <c r="FK72" s="169"/>
      <c r="FL72" s="169"/>
      <c r="FM72" s="169"/>
      <c r="FN72" s="169"/>
      <c r="FO72" s="169"/>
      <c r="FP72" s="169"/>
      <c r="FQ72" s="169"/>
      <c r="FR72" s="169"/>
      <c r="FS72" s="169"/>
      <c r="FT72" s="169"/>
      <c r="FU72" s="169"/>
      <c r="FV72" s="169"/>
      <c r="FW72" s="169"/>
      <c r="FX72" s="169"/>
      <c r="FY72" s="169"/>
      <c r="FZ72" s="169"/>
      <c r="GA72" s="169"/>
      <c r="GB72" s="169"/>
      <c r="GC72" s="169"/>
    </row>
    <row r="73" spans="1:185">
      <c r="A73" s="155" t="s">
        <v>476</v>
      </c>
      <c r="B73" s="156"/>
      <c r="C73" s="157">
        <v>0</v>
      </c>
      <c r="D73" s="250"/>
      <c r="E73" s="235"/>
      <c r="F73" s="185"/>
      <c r="G73" s="235"/>
      <c r="H73" s="185"/>
      <c r="I73" s="166"/>
      <c r="J73" s="251"/>
      <c r="K73" s="166"/>
      <c r="L73" s="251"/>
      <c r="M73" s="166"/>
      <c r="N73" s="162"/>
      <c r="O73" s="138"/>
      <c r="P73" s="174">
        <f t="shared" si="50"/>
        <v>0</v>
      </c>
      <c r="Q73" s="132">
        <f t="shared" si="51"/>
        <v>0</v>
      </c>
      <c r="R73" s="132">
        <f t="shared" si="52"/>
        <v>0</v>
      </c>
      <c r="S73" s="132">
        <f t="shared" si="53"/>
        <v>0</v>
      </c>
      <c r="T73" s="156">
        <f t="shared" si="54"/>
        <v>0</v>
      </c>
      <c r="BF73" s="166">
        <f t="shared" si="55"/>
        <v>0</v>
      </c>
      <c r="BG73" s="166">
        <f t="shared" si="56"/>
        <v>0</v>
      </c>
      <c r="BH73" s="167">
        <f t="shared" si="57"/>
        <v>0</v>
      </c>
      <c r="BM73" s="168" t="e">
        <f t="shared" si="58"/>
        <v>#VALUE!</v>
      </c>
      <c r="BN73" s="169" t="e">
        <f t="shared" si="58"/>
        <v>#VALUE!</v>
      </c>
      <c r="BO73" s="169"/>
      <c r="BP73" s="169"/>
      <c r="BQ73" s="169"/>
      <c r="BR73" s="169"/>
      <c r="BS73" s="169"/>
      <c r="BT73" s="169"/>
      <c r="BU73" s="169"/>
      <c r="BV73" s="169"/>
      <c r="BW73" s="169"/>
      <c r="BX73" s="169"/>
      <c r="BY73" s="169"/>
      <c r="BZ73" s="169"/>
      <c r="CA73" s="169"/>
      <c r="CB73" s="169"/>
      <c r="CC73" s="169"/>
      <c r="CD73" s="169"/>
      <c r="CE73" s="169"/>
      <c r="CF73" s="169"/>
      <c r="CG73" s="169"/>
      <c r="CH73" s="169"/>
      <c r="CI73" s="169"/>
      <c r="CJ73" s="169"/>
      <c r="CK73" s="169"/>
      <c r="CL73" s="169"/>
      <c r="CM73" s="169"/>
      <c r="CN73" s="169"/>
      <c r="CO73" s="169"/>
      <c r="CP73" s="169"/>
      <c r="CQ73" s="169"/>
      <c r="CR73" s="169"/>
      <c r="CS73" s="169"/>
      <c r="CT73" s="169"/>
      <c r="CU73" s="169"/>
      <c r="CV73" s="169"/>
      <c r="CW73" s="169"/>
      <c r="CX73" s="169"/>
      <c r="CY73" s="169"/>
      <c r="CZ73" s="169"/>
      <c r="DA73" s="169"/>
      <c r="DB73" s="169"/>
      <c r="DC73" s="169"/>
      <c r="DD73" s="169"/>
      <c r="DE73" s="169"/>
      <c r="DF73" s="169"/>
      <c r="DG73" s="169"/>
      <c r="DH73" s="169"/>
      <c r="DI73" s="169"/>
      <c r="DJ73" s="169"/>
      <c r="DK73" s="169"/>
      <c r="DL73" s="169"/>
      <c r="DM73" s="169"/>
      <c r="DN73" s="169"/>
      <c r="DO73" s="169"/>
      <c r="DP73" s="169"/>
      <c r="DQ73" s="169"/>
      <c r="DR73" s="169"/>
      <c r="DS73" s="169"/>
      <c r="DT73" s="169"/>
      <c r="DU73" s="169"/>
      <c r="DV73" s="169"/>
      <c r="DW73" s="169"/>
      <c r="DX73" s="169"/>
      <c r="DY73" s="169"/>
      <c r="DZ73" s="169"/>
      <c r="EA73" s="169"/>
      <c r="EB73" s="169"/>
      <c r="EC73" s="169"/>
      <c r="ED73" s="169"/>
      <c r="EE73" s="169"/>
      <c r="EF73" s="169"/>
      <c r="EG73" s="169"/>
      <c r="EH73" s="169"/>
      <c r="EI73" s="169"/>
      <c r="EJ73" s="169"/>
      <c r="EK73" s="169"/>
      <c r="EL73" s="169"/>
      <c r="EM73" s="169"/>
      <c r="EN73" s="169"/>
      <c r="EO73" s="169"/>
      <c r="EP73" s="169"/>
      <c r="EQ73" s="169"/>
      <c r="ER73" s="169"/>
      <c r="ES73" s="169"/>
      <c r="ET73" s="169"/>
      <c r="EU73" s="169"/>
      <c r="EV73" s="169"/>
      <c r="EW73" s="169"/>
      <c r="EX73" s="169"/>
      <c r="EY73" s="169"/>
      <c r="EZ73" s="169"/>
      <c r="FA73" s="169"/>
      <c r="FB73" s="169"/>
      <c r="FC73" s="169"/>
      <c r="FD73" s="169"/>
      <c r="FE73" s="169"/>
      <c r="FF73" s="169"/>
      <c r="FG73" s="169"/>
      <c r="FH73" s="169"/>
      <c r="FI73" s="169"/>
      <c r="FJ73" s="169"/>
      <c r="FK73" s="169"/>
      <c r="FL73" s="169"/>
      <c r="FM73" s="169"/>
      <c r="FN73" s="169"/>
      <c r="FO73" s="169"/>
      <c r="FP73" s="169"/>
      <c r="FQ73" s="169"/>
      <c r="FR73" s="169"/>
      <c r="FS73" s="169"/>
      <c r="FT73" s="169"/>
      <c r="FU73" s="169"/>
      <c r="FV73" s="169"/>
      <c r="FW73" s="169"/>
      <c r="FX73" s="169"/>
      <c r="FY73" s="169"/>
      <c r="FZ73" s="169"/>
      <c r="GA73" s="169"/>
      <c r="GB73" s="169"/>
      <c r="GC73" s="169"/>
    </row>
    <row r="74" spans="1:185">
      <c r="A74" s="155" t="s">
        <v>438</v>
      </c>
      <c r="B74" s="156" t="s">
        <v>169</v>
      </c>
      <c r="C74" s="157">
        <v>0.19600000000000001</v>
      </c>
      <c r="D74" s="250"/>
      <c r="E74" s="235">
        <v>0</v>
      </c>
      <c r="F74" s="185"/>
      <c r="G74" s="235">
        <v>0</v>
      </c>
      <c r="H74" s="185"/>
      <c r="I74" s="166">
        <v>0</v>
      </c>
      <c r="J74" s="251"/>
      <c r="K74" s="166">
        <v>0</v>
      </c>
      <c r="L74" s="251"/>
      <c r="M74" s="166">
        <v>0</v>
      </c>
      <c r="N74" s="162"/>
      <c r="O74" s="138"/>
      <c r="P74" s="174">
        <f t="shared" si="50"/>
        <v>0</v>
      </c>
      <c r="Q74" s="132">
        <f t="shared" si="51"/>
        <v>0</v>
      </c>
      <c r="R74" s="132">
        <f t="shared" si="52"/>
        <v>0</v>
      </c>
      <c r="S74" s="132">
        <f t="shared" si="53"/>
        <v>0</v>
      </c>
      <c r="T74" s="156">
        <f t="shared" si="54"/>
        <v>0</v>
      </c>
      <c r="BF74" s="166">
        <f t="shared" si="55"/>
        <v>0</v>
      </c>
      <c r="BG74" s="166">
        <f t="shared" si="56"/>
        <v>0</v>
      </c>
      <c r="BH74" s="167">
        <f t="shared" si="57"/>
        <v>0</v>
      </c>
      <c r="BM74" s="168" t="e">
        <f t="shared" si="58"/>
        <v>#VALUE!</v>
      </c>
      <c r="BN74" s="169" t="e">
        <f t="shared" si="58"/>
        <v>#VALUE!</v>
      </c>
      <c r="BO74" s="169"/>
      <c r="BP74" s="169"/>
      <c r="BQ74" s="169"/>
      <c r="BR74" s="169"/>
      <c r="BS74" s="169"/>
      <c r="BT74" s="169"/>
      <c r="BU74" s="169"/>
      <c r="BV74" s="169"/>
      <c r="BW74" s="169"/>
      <c r="BX74" s="169"/>
      <c r="BY74" s="169"/>
      <c r="BZ74" s="169"/>
      <c r="CA74" s="169"/>
      <c r="CB74" s="169"/>
      <c r="CC74" s="169"/>
      <c r="CD74" s="169"/>
      <c r="CE74" s="169"/>
      <c r="CF74" s="169"/>
      <c r="CG74" s="169"/>
      <c r="CH74" s="169"/>
      <c r="CI74" s="169"/>
      <c r="CJ74" s="169"/>
      <c r="CK74" s="169"/>
      <c r="CL74" s="169"/>
      <c r="CM74" s="169"/>
      <c r="CN74" s="169"/>
      <c r="CO74" s="169"/>
      <c r="CP74" s="169"/>
      <c r="CQ74" s="169"/>
      <c r="CR74" s="169"/>
      <c r="CS74" s="169"/>
      <c r="CT74" s="169"/>
      <c r="CU74" s="169"/>
      <c r="CV74" s="169"/>
      <c r="CW74" s="169"/>
      <c r="CX74" s="169"/>
      <c r="CY74" s="169"/>
      <c r="CZ74" s="169"/>
      <c r="DA74" s="169"/>
      <c r="DB74" s="169"/>
      <c r="DC74" s="169"/>
      <c r="DD74" s="169"/>
      <c r="DE74" s="169"/>
      <c r="DF74" s="169"/>
      <c r="DG74" s="169"/>
      <c r="DH74" s="169"/>
      <c r="DI74" s="169"/>
      <c r="DJ74" s="169"/>
      <c r="DK74" s="169"/>
      <c r="DL74" s="169"/>
      <c r="DM74" s="169"/>
      <c r="DN74" s="169"/>
      <c r="DO74" s="169"/>
      <c r="DP74" s="169"/>
      <c r="DQ74" s="169"/>
      <c r="DR74" s="169"/>
      <c r="DS74" s="169"/>
      <c r="DT74" s="169"/>
      <c r="DU74" s="169"/>
      <c r="DV74" s="169"/>
      <c r="DW74" s="169"/>
      <c r="DX74" s="169"/>
      <c r="DY74" s="169"/>
      <c r="DZ74" s="169"/>
      <c r="EA74" s="169"/>
      <c r="EB74" s="169"/>
      <c r="EC74" s="169"/>
      <c r="ED74" s="169"/>
      <c r="EE74" s="169"/>
      <c r="EF74" s="169"/>
      <c r="EG74" s="169"/>
      <c r="EH74" s="169"/>
      <c r="EI74" s="169"/>
      <c r="EJ74" s="169"/>
      <c r="EK74" s="169"/>
      <c r="EL74" s="169"/>
      <c r="EM74" s="169"/>
      <c r="EN74" s="169"/>
      <c r="EO74" s="169"/>
      <c r="EP74" s="169"/>
      <c r="EQ74" s="169"/>
      <c r="ER74" s="169"/>
      <c r="ES74" s="169"/>
      <c r="ET74" s="169"/>
      <c r="EU74" s="169"/>
      <c r="EV74" s="169"/>
      <c r="EW74" s="169"/>
      <c r="EX74" s="169"/>
      <c r="EY74" s="169"/>
      <c r="EZ74" s="169"/>
      <c r="FA74" s="169"/>
      <c r="FB74" s="169"/>
      <c r="FC74" s="169"/>
      <c r="FD74" s="169"/>
      <c r="FE74" s="169"/>
      <c r="FF74" s="169"/>
      <c r="FG74" s="169"/>
      <c r="FH74" s="169"/>
      <c r="FI74" s="169"/>
      <c r="FJ74" s="169"/>
      <c r="FK74" s="169"/>
      <c r="FL74" s="169"/>
      <c r="FM74" s="169"/>
      <c r="FN74" s="169"/>
      <c r="FO74" s="169"/>
      <c r="FP74" s="169"/>
      <c r="FQ74" s="169"/>
      <c r="FR74" s="169"/>
      <c r="FS74" s="169"/>
      <c r="FT74" s="169"/>
      <c r="FU74" s="169"/>
      <c r="FV74" s="169"/>
      <c r="FW74" s="169"/>
      <c r="FX74" s="169"/>
      <c r="FY74" s="169"/>
      <c r="FZ74" s="169"/>
      <c r="GA74" s="169"/>
      <c r="GB74" s="169"/>
      <c r="GC74" s="169"/>
    </row>
    <row r="75" spans="1:185">
      <c r="A75" s="155" t="s">
        <v>486</v>
      </c>
      <c r="B75" s="156"/>
      <c r="C75" s="157">
        <v>0.19600000000000001</v>
      </c>
      <c r="D75" s="250"/>
      <c r="E75" s="235">
        <v>0</v>
      </c>
      <c r="F75" s="185"/>
      <c r="G75" s="235">
        <v>0</v>
      </c>
      <c r="H75" s="185"/>
      <c r="I75" s="166">
        <v>0</v>
      </c>
      <c r="J75" s="251"/>
      <c r="K75" s="166">
        <v>0</v>
      </c>
      <c r="L75" s="251"/>
      <c r="M75" s="166">
        <v>0</v>
      </c>
      <c r="N75" s="162"/>
      <c r="O75" s="138"/>
      <c r="P75" s="174">
        <f>IF(D75&lt;&gt;0,YEAR(D75)*12+MONTH(D75),0)</f>
        <v>0</v>
      </c>
      <c r="Q75" s="132">
        <f>IF(F75&lt;&gt;0,YEAR(F75)*12+MONTH(F75),0)</f>
        <v>0</v>
      </c>
      <c r="R75" s="132">
        <f>IF(H75&lt;&gt;0,YEAR(H75)*12+MONTH(H75),0)</f>
        <v>0</v>
      </c>
      <c r="S75" s="132">
        <f>IF(J75&lt;&gt;0,YEAR(J75)*12+MONTH(J75),0)</f>
        <v>0</v>
      </c>
      <c r="T75" s="156">
        <f>IF(L75&lt;&gt;0,YEAR(L75)*12+MONTH(L75),0)</f>
        <v>0</v>
      </c>
      <c r="BF75" s="166">
        <f>BG75/(1+C75)</f>
        <v>0</v>
      </c>
      <c r="BG75" s="166">
        <f>E75+G75+I75+K75+M75</f>
        <v>0</v>
      </c>
      <c r="BH75" s="167">
        <f>BG75-BF75</f>
        <v>0</v>
      </c>
      <c r="BM75" s="168" t="e">
        <f t="shared" si="58"/>
        <v>#VALUE!</v>
      </c>
      <c r="BN75" s="169" t="e">
        <f t="shared" si="58"/>
        <v>#VALUE!</v>
      </c>
      <c r="BO75" s="169"/>
      <c r="BP75" s="169"/>
      <c r="BQ75" s="169"/>
      <c r="BR75" s="169"/>
      <c r="BS75" s="169"/>
      <c r="BT75" s="169"/>
      <c r="BU75" s="169"/>
      <c r="BV75" s="169"/>
      <c r="BW75" s="169"/>
      <c r="BX75" s="169"/>
      <c r="BY75" s="169"/>
      <c r="BZ75" s="169"/>
      <c r="CA75" s="169"/>
      <c r="CB75" s="169"/>
      <c r="CC75" s="169"/>
      <c r="CD75" s="169"/>
      <c r="CE75" s="169"/>
      <c r="CF75" s="169"/>
      <c r="CG75" s="169"/>
      <c r="CH75" s="169"/>
      <c r="CI75" s="169"/>
      <c r="CJ75" s="169"/>
      <c r="CK75" s="169"/>
      <c r="CL75" s="169"/>
      <c r="CM75" s="169"/>
      <c r="CN75" s="169"/>
      <c r="CO75" s="169"/>
      <c r="CP75" s="169"/>
      <c r="CQ75" s="169"/>
      <c r="CR75" s="169"/>
      <c r="CS75" s="169"/>
      <c r="CT75" s="169"/>
      <c r="CU75" s="169"/>
      <c r="CV75" s="169"/>
      <c r="CW75" s="169"/>
      <c r="CX75" s="169"/>
      <c r="CY75" s="169"/>
      <c r="CZ75" s="169"/>
      <c r="DA75" s="169"/>
      <c r="DB75" s="169"/>
      <c r="DC75" s="169"/>
      <c r="DD75" s="169"/>
      <c r="DE75" s="169"/>
      <c r="DF75" s="169"/>
      <c r="DG75" s="169"/>
      <c r="DH75" s="169"/>
      <c r="DI75" s="169"/>
      <c r="DJ75" s="169"/>
      <c r="DK75" s="169"/>
      <c r="DL75" s="169"/>
      <c r="DM75" s="169"/>
      <c r="DN75" s="169"/>
      <c r="DO75" s="169"/>
      <c r="DP75" s="169"/>
      <c r="DQ75" s="169"/>
      <c r="DR75" s="169"/>
      <c r="DS75" s="169"/>
      <c r="DT75" s="169"/>
      <c r="DU75" s="169"/>
      <c r="DV75" s="169"/>
      <c r="DW75" s="169"/>
      <c r="DX75" s="169"/>
      <c r="DY75" s="169"/>
      <c r="DZ75" s="169"/>
      <c r="EA75" s="169"/>
      <c r="EB75" s="169"/>
      <c r="EC75" s="169"/>
      <c r="ED75" s="169"/>
      <c r="EE75" s="169"/>
      <c r="EF75" s="169"/>
      <c r="EG75" s="169"/>
      <c r="EH75" s="169"/>
      <c r="EI75" s="169"/>
      <c r="EJ75" s="169"/>
      <c r="EK75" s="169"/>
      <c r="EL75" s="169"/>
      <c r="EM75" s="169"/>
      <c r="EN75" s="169"/>
      <c r="EO75" s="169"/>
      <c r="EP75" s="169"/>
      <c r="EQ75" s="169"/>
      <c r="ER75" s="169"/>
      <c r="ES75" s="169"/>
      <c r="ET75" s="169"/>
      <c r="EU75" s="169"/>
      <c r="EV75" s="169"/>
      <c r="EW75" s="169"/>
      <c r="EX75" s="169"/>
      <c r="EY75" s="169"/>
      <c r="EZ75" s="169"/>
      <c r="FA75" s="169"/>
      <c r="FB75" s="169"/>
      <c r="FC75" s="169"/>
      <c r="FD75" s="169"/>
      <c r="FE75" s="169"/>
      <c r="FF75" s="169"/>
      <c r="FG75" s="169"/>
      <c r="FH75" s="169"/>
      <c r="FI75" s="169"/>
      <c r="FJ75" s="169"/>
      <c r="FK75" s="169"/>
      <c r="FL75" s="169"/>
      <c r="FM75" s="169"/>
      <c r="FN75" s="169"/>
      <c r="FO75" s="169"/>
      <c r="FP75" s="169"/>
      <c r="FQ75" s="169"/>
      <c r="FR75" s="169"/>
      <c r="FS75" s="169"/>
      <c r="FT75" s="169"/>
      <c r="FU75" s="169"/>
      <c r="FV75" s="169"/>
      <c r="FW75" s="169"/>
      <c r="FX75" s="169"/>
      <c r="FY75" s="169"/>
      <c r="FZ75" s="169"/>
      <c r="GA75" s="169"/>
      <c r="GB75" s="169"/>
      <c r="GC75" s="169"/>
    </row>
    <row r="76" spans="1:185" ht="13.8" thickBot="1">
      <c r="A76" s="175" t="s">
        <v>485</v>
      </c>
      <c r="B76" s="176"/>
      <c r="C76" s="157">
        <v>0.19600000000000001</v>
      </c>
      <c r="D76" s="252"/>
      <c r="E76" s="236">
        <v>0</v>
      </c>
      <c r="F76" s="253"/>
      <c r="G76" s="236">
        <v>0</v>
      </c>
      <c r="H76" s="253"/>
      <c r="I76" s="254">
        <v>0</v>
      </c>
      <c r="J76" s="255"/>
      <c r="K76" s="254">
        <v>0</v>
      </c>
      <c r="L76" s="255"/>
      <c r="M76" s="254">
        <v>0</v>
      </c>
      <c r="N76" s="162"/>
      <c r="O76" s="138"/>
      <c r="P76" s="181">
        <f>IF(D76&lt;&gt;0,YEAR(D76)*12+MONTH(D76),0)</f>
        <v>0</v>
      </c>
      <c r="Q76" s="182">
        <f>IF(F76&lt;&gt;0,YEAR(F76)*12+MONTH(F76),0)</f>
        <v>0</v>
      </c>
      <c r="R76" s="182">
        <f>IF(H76&lt;&gt;0,YEAR(H76)*12+MONTH(H76),0)</f>
        <v>0</v>
      </c>
      <c r="S76" s="182">
        <f>IF(J76&lt;&gt;0,YEAR(J76)*12+MONTH(J76),0)</f>
        <v>0</v>
      </c>
      <c r="T76" s="176">
        <f>IF(L76&lt;&gt;0,YEAR(L76)*12+MONTH(L76),0)</f>
        <v>0</v>
      </c>
      <c r="BF76" s="166">
        <f>BG76/(1+C76)</f>
        <v>0</v>
      </c>
      <c r="BG76" s="166">
        <f>E76+G76+I76+K76+M76</f>
        <v>0</v>
      </c>
      <c r="BH76" s="167">
        <f>BG76-BF76</f>
        <v>0</v>
      </c>
      <c r="BM76" s="168" t="e">
        <f t="shared" si="58"/>
        <v>#VALUE!</v>
      </c>
      <c r="BN76" s="169" t="e">
        <f t="shared" si="58"/>
        <v>#VALUE!</v>
      </c>
      <c r="BO76" s="169"/>
      <c r="BP76" s="169"/>
      <c r="BQ76" s="169"/>
      <c r="BR76" s="169"/>
      <c r="BS76" s="169"/>
      <c r="BT76" s="169"/>
      <c r="BU76" s="169"/>
      <c r="BV76" s="169"/>
      <c r="BW76" s="169"/>
      <c r="BX76" s="169"/>
      <c r="BY76" s="169"/>
      <c r="BZ76" s="169"/>
      <c r="CA76" s="169"/>
      <c r="CB76" s="169"/>
      <c r="CC76" s="169"/>
      <c r="CD76" s="169"/>
      <c r="CE76" s="169"/>
      <c r="CF76" s="169"/>
      <c r="CG76" s="169"/>
      <c r="CH76" s="169"/>
      <c r="CI76" s="169"/>
      <c r="CJ76" s="169"/>
      <c r="CK76" s="169"/>
      <c r="CL76" s="169"/>
      <c r="CM76" s="169"/>
      <c r="CN76" s="169"/>
      <c r="CO76" s="169"/>
      <c r="CP76" s="169"/>
      <c r="CQ76" s="169"/>
      <c r="CR76" s="169"/>
      <c r="CS76" s="169"/>
      <c r="CT76" s="169"/>
      <c r="CU76" s="169"/>
      <c r="CV76" s="169"/>
      <c r="CW76" s="169"/>
      <c r="CX76" s="169"/>
      <c r="CY76" s="169"/>
      <c r="CZ76" s="169"/>
      <c r="DA76" s="169"/>
      <c r="DB76" s="169"/>
      <c r="DC76" s="169"/>
      <c r="DD76" s="169"/>
      <c r="DE76" s="169"/>
      <c r="DF76" s="169"/>
      <c r="DG76" s="169"/>
      <c r="DH76" s="169"/>
      <c r="DI76" s="169"/>
      <c r="DJ76" s="169"/>
      <c r="DK76" s="169"/>
      <c r="DL76" s="169"/>
      <c r="DM76" s="169"/>
      <c r="DN76" s="169"/>
      <c r="DO76" s="169"/>
      <c r="DP76" s="169"/>
      <c r="DQ76" s="169"/>
      <c r="DR76" s="169"/>
      <c r="DS76" s="169"/>
      <c r="DT76" s="169"/>
      <c r="DU76" s="169"/>
      <c r="DV76" s="169"/>
      <c r="DW76" s="169"/>
      <c r="DX76" s="169"/>
      <c r="DY76" s="169"/>
      <c r="DZ76" s="169"/>
      <c r="EA76" s="169"/>
      <c r="EB76" s="169"/>
      <c r="EC76" s="169"/>
      <c r="ED76" s="169"/>
      <c r="EE76" s="169"/>
      <c r="EF76" s="169"/>
      <c r="EG76" s="169"/>
      <c r="EH76" s="169"/>
      <c r="EI76" s="169"/>
      <c r="EJ76" s="169"/>
      <c r="EK76" s="169"/>
      <c r="EL76" s="169"/>
      <c r="EM76" s="169"/>
      <c r="EN76" s="169"/>
      <c r="EO76" s="169"/>
      <c r="EP76" s="169"/>
      <c r="EQ76" s="169"/>
      <c r="ER76" s="169"/>
      <c r="ES76" s="169"/>
      <c r="ET76" s="169"/>
      <c r="EU76" s="169"/>
      <c r="EV76" s="169"/>
      <c r="EW76" s="169"/>
      <c r="EX76" s="169"/>
      <c r="EY76" s="169"/>
      <c r="EZ76" s="169"/>
      <c r="FA76" s="169"/>
      <c r="FB76" s="169"/>
      <c r="FC76" s="169"/>
      <c r="FD76" s="169"/>
      <c r="FE76" s="169"/>
      <c r="FF76" s="169"/>
      <c r="FG76" s="169"/>
      <c r="FH76" s="169"/>
      <c r="FI76" s="169"/>
      <c r="FJ76" s="169"/>
      <c r="FK76" s="169"/>
      <c r="FL76" s="169"/>
      <c r="FM76" s="169"/>
      <c r="FN76" s="169"/>
      <c r="FO76" s="169"/>
      <c r="FP76" s="169"/>
      <c r="FQ76" s="169"/>
      <c r="FR76" s="169"/>
      <c r="FS76" s="169"/>
      <c r="FT76" s="169"/>
      <c r="FU76" s="169"/>
      <c r="FV76" s="169"/>
      <c r="FW76" s="169"/>
      <c r="FX76" s="169"/>
      <c r="FY76" s="169"/>
      <c r="FZ76" s="169"/>
      <c r="GA76" s="169"/>
      <c r="GB76" s="169"/>
      <c r="GC76" s="169"/>
    </row>
    <row r="77" spans="1:185" ht="13.8" thickBot="1">
      <c r="A77" s="256" t="s">
        <v>487</v>
      </c>
      <c r="B77" s="257"/>
      <c r="C77" s="157"/>
      <c r="D77" s="138" t="s">
        <v>37</v>
      </c>
      <c r="G77" s="210" t="s">
        <v>65</v>
      </c>
      <c r="H77" s="212" t="s">
        <v>66</v>
      </c>
      <c r="I77" s="210" t="s">
        <v>67</v>
      </c>
      <c r="J77" s="212" t="s">
        <v>66</v>
      </c>
      <c r="K77" s="210" t="s">
        <v>68</v>
      </c>
      <c r="L77" s="212" t="s">
        <v>66</v>
      </c>
      <c r="P77" s="138"/>
      <c r="R77" s="132" t="s">
        <v>69</v>
      </c>
      <c r="U77" s="138"/>
      <c r="W77" s="138"/>
      <c r="Y77" s="132" t="s">
        <v>70</v>
      </c>
      <c r="AB77" s="138"/>
      <c r="AD77" s="138"/>
      <c r="AF77" s="132" t="s">
        <v>71</v>
      </c>
      <c r="AI77" s="138"/>
      <c r="AK77" s="138"/>
      <c r="AM77" s="132" t="s">
        <v>72</v>
      </c>
      <c r="AP77" s="138"/>
      <c r="AR77" s="138"/>
      <c r="AT77" s="132" t="s">
        <v>73</v>
      </c>
      <c r="AW77" s="138"/>
      <c r="AY77" s="138"/>
      <c r="BA77" s="132" t="s">
        <v>74</v>
      </c>
      <c r="BD77" s="138"/>
      <c r="BE77" s="138"/>
      <c r="BF77" s="166"/>
      <c r="BG77" s="166"/>
      <c r="BH77" s="167"/>
      <c r="BM77" s="153"/>
      <c r="BN77" s="154"/>
      <c r="BO77" s="154"/>
      <c r="BP77" s="154"/>
      <c r="BQ77" s="154"/>
      <c r="BR77" s="154"/>
      <c r="BS77" s="154"/>
      <c r="BT77" s="154"/>
      <c r="BU77" s="154"/>
      <c r="BV77" s="154"/>
      <c r="BW77" s="154"/>
      <c r="BX77" s="154"/>
      <c r="BY77" s="154"/>
      <c r="BZ77" s="154"/>
      <c r="CA77" s="154"/>
      <c r="CB77" s="154"/>
      <c r="CC77" s="154"/>
      <c r="CD77" s="154"/>
      <c r="CE77" s="154"/>
      <c r="CF77" s="154"/>
      <c r="CG77" s="154"/>
      <c r="CH77" s="154"/>
      <c r="CI77" s="154"/>
      <c r="CJ77" s="154"/>
      <c r="CK77" s="154"/>
      <c r="CL77" s="154"/>
      <c r="CM77" s="154"/>
      <c r="CN77" s="154"/>
      <c r="CO77" s="154"/>
      <c r="CP77" s="154"/>
      <c r="CQ77" s="154"/>
      <c r="CR77" s="154"/>
      <c r="CS77" s="154"/>
      <c r="CT77" s="154"/>
      <c r="CU77" s="154"/>
      <c r="CV77" s="154"/>
      <c r="CW77" s="154"/>
      <c r="CX77" s="154"/>
      <c r="CY77" s="154"/>
      <c r="CZ77" s="154"/>
      <c r="DA77" s="154"/>
      <c r="DB77" s="154"/>
      <c r="DC77" s="154"/>
      <c r="DD77" s="154"/>
      <c r="DE77" s="154"/>
      <c r="DF77" s="154"/>
      <c r="DG77" s="154"/>
      <c r="DH77" s="154"/>
      <c r="DI77" s="154"/>
      <c r="DJ77" s="154"/>
      <c r="DK77" s="154"/>
      <c r="DL77" s="154"/>
      <c r="DM77" s="154"/>
      <c r="DN77" s="154"/>
      <c r="DO77" s="154"/>
      <c r="DP77" s="154"/>
      <c r="DQ77" s="154"/>
      <c r="DR77" s="154"/>
      <c r="DS77" s="154"/>
      <c r="DT77" s="154"/>
      <c r="DU77" s="154"/>
      <c r="DV77" s="154"/>
      <c r="DW77" s="154"/>
      <c r="DX77" s="154"/>
      <c r="DY77" s="154"/>
      <c r="DZ77" s="154"/>
      <c r="EA77" s="154"/>
      <c r="EB77" s="154"/>
      <c r="EC77" s="154"/>
      <c r="ED77" s="154"/>
      <c r="EE77" s="154"/>
      <c r="EF77" s="154"/>
      <c r="EG77" s="154"/>
      <c r="EH77" s="154"/>
      <c r="EI77" s="154"/>
      <c r="EJ77" s="154"/>
      <c r="EK77" s="154"/>
      <c r="EL77" s="154"/>
      <c r="EM77" s="154"/>
      <c r="EN77" s="154"/>
      <c r="EO77" s="154"/>
      <c r="EP77" s="154"/>
      <c r="EQ77" s="154"/>
      <c r="ER77" s="154"/>
      <c r="ES77" s="154"/>
      <c r="ET77" s="154"/>
      <c r="EU77" s="154"/>
      <c r="EV77" s="154"/>
      <c r="EW77" s="154"/>
      <c r="EX77" s="154"/>
      <c r="EY77" s="154"/>
      <c r="EZ77" s="154"/>
      <c r="FA77" s="154"/>
      <c r="FB77" s="154"/>
      <c r="FC77" s="154"/>
      <c r="FD77" s="154"/>
      <c r="FE77" s="154"/>
      <c r="FF77" s="154"/>
      <c r="FG77" s="154"/>
      <c r="FH77" s="154"/>
      <c r="FI77" s="154"/>
      <c r="FJ77" s="154"/>
      <c r="FK77" s="154"/>
      <c r="FL77" s="154"/>
      <c r="FM77" s="154"/>
      <c r="FN77" s="154"/>
      <c r="FO77" s="154"/>
      <c r="FP77" s="154"/>
      <c r="FQ77" s="154"/>
      <c r="FR77" s="154"/>
      <c r="FS77" s="154"/>
      <c r="FT77" s="154"/>
      <c r="FU77" s="154"/>
      <c r="FV77" s="154"/>
      <c r="FW77" s="154"/>
      <c r="FX77" s="154"/>
      <c r="FY77" s="154"/>
      <c r="FZ77" s="154"/>
      <c r="GA77" s="154"/>
      <c r="GB77" s="154"/>
      <c r="GC77" s="154"/>
    </row>
    <row r="78" spans="1:185" ht="14.1" customHeight="1">
      <c r="A78" s="155" t="s">
        <v>75</v>
      </c>
      <c r="B78" s="156"/>
      <c r="C78" s="157">
        <v>0</v>
      </c>
      <c r="D78" s="220">
        <v>0</v>
      </c>
      <c r="G78" s="258">
        <v>0</v>
      </c>
      <c r="H78" s="259">
        <v>0</v>
      </c>
      <c r="I78" s="258">
        <v>1</v>
      </c>
      <c r="J78" s="259">
        <v>0</v>
      </c>
      <c r="K78" s="258">
        <v>0</v>
      </c>
      <c r="L78" s="259">
        <v>0</v>
      </c>
      <c r="O78" s="260">
        <f t="shared" ref="O78:O85" si="59">T1_AO+DEC_HIN+$H78</f>
        <v>22803</v>
      </c>
      <c r="P78" s="261">
        <f t="shared" ref="P78:P85" si="60">$BG78*T1_CAF_POURC*$G78</f>
        <v>0</v>
      </c>
      <c r="Q78" s="262">
        <f t="shared" ref="Q78:Q85" si="61">T1_DT+DEC_HIN</f>
        <v>22803</v>
      </c>
      <c r="R78" s="263">
        <f t="shared" ref="R78:R85" si="62">($BG78*T1_CAF_POURC*$I78)/S78</f>
        <v>0</v>
      </c>
      <c r="S78" s="264">
        <f t="shared" ref="S78:S85" si="63">T1_DUR+$J78</f>
        <v>1</v>
      </c>
      <c r="T78" s="262">
        <f t="shared" ref="T78:T85" si="64">T1_LI+DEC_HIN+$L78</f>
        <v>22803</v>
      </c>
      <c r="U78" s="265">
        <f t="shared" ref="U78:U85" si="65">$BG78*T1_CAF_POURC*$K78</f>
        <v>0</v>
      </c>
      <c r="V78" s="260">
        <f t="shared" ref="V78:V85" si="66">T2_AO+DEC_HIN+$H78</f>
        <v>22803</v>
      </c>
      <c r="W78" s="261">
        <f t="shared" ref="W78:W85" si="67">$BG78*T2_CAF_POURC*$G78</f>
        <v>0</v>
      </c>
      <c r="X78" s="262">
        <f t="shared" ref="X78:X85" si="68">T2_DT+DEC_HIN</f>
        <v>22803</v>
      </c>
      <c r="Y78" s="263">
        <f t="shared" ref="Y78:Y85" si="69">($BG78*T2_CAF_POURC*$I78)/Z78</f>
        <v>0</v>
      </c>
      <c r="Z78" s="264">
        <f t="shared" ref="Z78:Z85" si="70">T2_DUR+$J78</f>
        <v>1</v>
      </c>
      <c r="AA78" s="262">
        <f t="shared" ref="AA78:AA85" si="71">T2_LI+DEC_HIN+$L78</f>
        <v>22803</v>
      </c>
      <c r="AB78" s="265">
        <f t="shared" ref="AB78:AB85" si="72">$BG78*T2_CAF_POURC*$K78</f>
        <v>0</v>
      </c>
      <c r="AC78" s="260">
        <f t="shared" ref="AC78:AC85" si="73">T3_AO+DEC_HIN+$H78</f>
        <v>22803</v>
      </c>
      <c r="AD78" s="261">
        <f t="shared" ref="AD78:AD85" si="74">$BG78*T3_CAF_POURC*$G78</f>
        <v>0</v>
      </c>
      <c r="AE78" s="262">
        <f t="shared" ref="AE78:AE85" si="75">T3_DT+DEC_HIN</f>
        <v>22803</v>
      </c>
      <c r="AF78" s="263">
        <f t="shared" ref="AF78:AF85" si="76">($BG78*T3_CAF_POURC*$I78)/AG78</f>
        <v>0</v>
      </c>
      <c r="AG78" s="264">
        <f t="shared" ref="AG78:AG85" si="77">T3_DUR+$J78</f>
        <v>1</v>
      </c>
      <c r="AH78" s="262">
        <f t="shared" ref="AH78:AH85" si="78">T3_LI+DEC_HIN+$L78</f>
        <v>22803</v>
      </c>
      <c r="AI78" s="265">
        <f t="shared" ref="AI78:AI85" si="79">$BG78*T3_CAF_POURC*$K78</f>
        <v>0</v>
      </c>
      <c r="AJ78" s="260">
        <f t="shared" ref="AJ78:AJ85" si="80">T4_AO+DEC_HIN+$H78</f>
        <v>22803</v>
      </c>
      <c r="AK78" s="261">
        <f t="shared" ref="AK78:AK85" si="81">$BG78*T4_CAF_POURC*$G78</f>
        <v>0</v>
      </c>
      <c r="AL78" s="262">
        <f t="shared" ref="AL78:AL85" si="82">T4_DT+DEC_HIN</f>
        <v>22803</v>
      </c>
      <c r="AM78" s="263">
        <f t="shared" ref="AM78:AM85" si="83">($BG78*T4_CAF_POURC*$I78)/AN78</f>
        <v>0</v>
      </c>
      <c r="AN78" s="264">
        <f t="shared" ref="AN78:AN85" si="84">T4_DUR+$J78</f>
        <v>1</v>
      </c>
      <c r="AO78" s="262">
        <f t="shared" ref="AO78:AO85" si="85">T4_LI+DEC_HIN+$L78</f>
        <v>22803</v>
      </c>
      <c r="AP78" s="265">
        <f t="shared" ref="AP78:AP85" si="86">$BG78*T4_CAF_POURC*$K78</f>
        <v>0</v>
      </c>
      <c r="AQ78" s="260">
        <f t="shared" ref="AQ78:AQ85" si="87">T5_AO+DEC_HIN+$H78</f>
        <v>22803</v>
      </c>
      <c r="AR78" s="261">
        <f t="shared" ref="AR78:AR85" si="88">$BG78*T5_CAF_POURC*$G78</f>
        <v>0</v>
      </c>
      <c r="AS78" s="262">
        <f t="shared" ref="AS78:AS85" si="89">T5_DT+DEC_HIN</f>
        <v>22803</v>
      </c>
      <c r="AT78" s="263">
        <f t="shared" ref="AT78:AT85" si="90">($BG78*T5_CAF_POURC*$I78)/AU78</f>
        <v>0</v>
      </c>
      <c r="AU78" s="264">
        <f t="shared" ref="AU78:AU85" si="91">T5_DUR+$J78</f>
        <v>1</v>
      </c>
      <c r="AV78" s="262">
        <f t="shared" ref="AV78:AV85" si="92">T5_LI+DEC_HIN+$L78</f>
        <v>22803</v>
      </c>
      <c r="AW78" s="265">
        <f t="shared" ref="AW78:AW85" si="93">$BG78*T5_CAF_POURC*$K78</f>
        <v>0</v>
      </c>
      <c r="AX78" s="260">
        <f t="shared" ref="AX78:AX85" si="94">T6_AO+DEC_HIN+$H78</f>
        <v>22803</v>
      </c>
      <c r="AY78" s="261">
        <f t="shared" ref="AY78:AY85" si="95">$BG78*T6_CAF_POURC*$G78</f>
        <v>0</v>
      </c>
      <c r="AZ78" s="262">
        <f t="shared" ref="AZ78:AZ85" si="96">T6_DT+DEC_HIN</f>
        <v>22803</v>
      </c>
      <c r="BA78" s="263">
        <f t="shared" ref="BA78:BA85" si="97">($BG78*T6_CAF_POURC*$I78)/BB78</f>
        <v>0</v>
      </c>
      <c r="BB78" s="264">
        <f t="shared" ref="BB78:BB85" si="98">T6_DUR+$J78</f>
        <v>1</v>
      </c>
      <c r="BC78" s="262">
        <f t="shared" ref="BC78:BC85" si="99">T6_LI+DEC_HIN+$L78</f>
        <v>22803</v>
      </c>
      <c r="BD78" s="265">
        <f t="shared" ref="BD78:BD85" si="100">$BG78*T6_CAF_POURC*$K78</f>
        <v>0</v>
      </c>
      <c r="BE78" s="138"/>
      <c r="BF78" s="166">
        <f t="shared" ref="BF78:BF85" si="101">D78</f>
        <v>0</v>
      </c>
      <c r="BG78" s="166">
        <f t="shared" ref="BG78:BG85" si="102">ROUND(BF78*(1+C78),0)</f>
        <v>0</v>
      </c>
      <c r="BH78" s="167">
        <f t="shared" ref="BH78:BH85" si="103">BG78-BF78</f>
        <v>0</v>
      </c>
      <c r="BM78" s="168" t="e">
        <f t="shared" ref="BM78:BN85" si="104">IF(BM$3&gt;=$O78,$P78,0)+IF(BM$3&gt;=$Q78,$R78*MIN(BM$3-$Q78+1,$S78),0)+IF(BM$3&gt;=$T78,$U78,0)+IF(BM$3&gt;=$V78,$W78,0)+IF(BM$3&gt;=$X78,$Y78*MIN(BM$3-$X78+1,$Z78),0)+IF(BM$3&gt;=$AA78,$AB78,0)+IF(BM$3&gt;=$AC78,$AD78,0)+IF(BM$3&gt;=$AE78,$AF78*MIN(BM$3-$AE78+1,$AG78),0)+IF(BM$3&gt;=$AH78,$AI78,0)+IF(BM$3&gt;=$AJ78,$AK78,0)+IF(BM$3&gt;=$AL78,$AM78*MIN(BM$3-$AL78+1,$AN78),0)+IF(BM$3&gt;=$AO78,$AP78,0)+IF(BM$3&gt;=$AQ78,$AR78,0)+IF(BM$3&gt;=$AS78,$AT78*MIN(BM$3-$AS78+1,$AU78),0)+IF(BM$3&gt;=$AV78,$AW78,0)+IF(BM$3&gt;=$AX78,$AY78,0)+IF(BM$3&gt;=$AZ78,$BA78*MIN(BM$3-$AZ78+1,$BB78),0)+IF(BM$3&gt;=$BC78,$BD78,0)</f>
        <v>#VALUE!</v>
      </c>
      <c r="BN78" s="169" t="e">
        <f t="shared" si="104"/>
        <v>#VALUE!</v>
      </c>
      <c r="BO78" s="169"/>
      <c r="BP78" s="169"/>
      <c r="BQ78" s="169"/>
      <c r="BR78" s="169"/>
      <c r="BS78" s="169"/>
      <c r="BT78" s="169"/>
      <c r="BU78" s="169"/>
      <c r="BV78" s="169"/>
      <c r="BW78" s="169"/>
      <c r="BX78" s="169"/>
      <c r="BY78" s="169"/>
      <c r="BZ78" s="169"/>
      <c r="CA78" s="169"/>
      <c r="CB78" s="169"/>
      <c r="CC78" s="169"/>
      <c r="CD78" s="169"/>
      <c r="CE78" s="169"/>
      <c r="CF78" s="169"/>
      <c r="CG78" s="169"/>
      <c r="CH78" s="169"/>
      <c r="CI78" s="169"/>
      <c r="CJ78" s="169"/>
      <c r="CK78" s="169"/>
      <c r="CL78" s="169"/>
      <c r="CM78" s="169"/>
      <c r="CN78" s="169"/>
      <c r="CO78" s="169"/>
      <c r="CP78" s="169"/>
      <c r="CQ78" s="169"/>
      <c r="CR78" s="169"/>
      <c r="CS78" s="169"/>
      <c r="CT78" s="169"/>
      <c r="CU78" s="169"/>
      <c r="CV78" s="169"/>
      <c r="CW78" s="169"/>
      <c r="CX78" s="169"/>
      <c r="CY78" s="169"/>
      <c r="CZ78" s="169"/>
      <c r="DA78" s="169"/>
      <c r="DB78" s="169"/>
      <c r="DC78" s="169"/>
      <c r="DD78" s="169"/>
      <c r="DE78" s="169"/>
      <c r="DF78" s="169"/>
      <c r="DG78" s="169"/>
      <c r="DH78" s="169"/>
      <c r="DI78" s="169"/>
      <c r="DJ78" s="169"/>
      <c r="DK78" s="169"/>
      <c r="DL78" s="169"/>
      <c r="DM78" s="169"/>
      <c r="DN78" s="169"/>
      <c r="DO78" s="169"/>
      <c r="DP78" s="169"/>
      <c r="DQ78" s="169"/>
      <c r="DR78" s="169"/>
      <c r="DS78" s="169"/>
      <c r="DT78" s="169"/>
      <c r="DU78" s="169"/>
      <c r="DV78" s="169"/>
      <c r="DW78" s="169"/>
      <c r="DX78" s="169"/>
      <c r="DY78" s="169"/>
      <c r="DZ78" s="169"/>
      <c r="EA78" s="169"/>
      <c r="EB78" s="169"/>
      <c r="EC78" s="169"/>
      <c r="ED78" s="169"/>
      <c r="EE78" s="169"/>
      <c r="EF78" s="169"/>
      <c r="EG78" s="169"/>
      <c r="EH78" s="169"/>
      <c r="EI78" s="169"/>
      <c r="EJ78" s="169"/>
      <c r="EK78" s="169"/>
      <c r="EL78" s="169"/>
      <c r="EM78" s="169"/>
      <c r="EN78" s="169"/>
      <c r="EO78" s="169"/>
      <c r="EP78" s="169"/>
      <c r="EQ78" s="169"/>
      <c r="ER78" s="169"/>
      <c r="ES78" s="169"/>
      <c r="ET78" s="169"/>
      <c r="EU78" s="169"/>
      <c r="EV78" s="169"/>
      <c r="EW78" s="169"/>
      <c r="EX78" s="169"/>
      <c r="EY78" s="169"/>
      <c r="EZ78" s="169"/>
      <c r="FA78" s="169"/>
      <c r="FB78" s="169"/>
      <c r="FC78" s="169"/>
      <c r="FD78" s="169"/>
      <c r="FE78" s="169"/>
      <c r="FF78" s="169"/>
      <c r="FG78" s="169"/>
      <c r="FH78" s="169"/>
      <c r="FI78" s="169"/>
      <c r="FJ78" s="169"/>
      <c r="FK78" s="169"/>
      <c r="FL78" s="169"/>
      <c r="FM78" s="169"/>
      <c r="FN78" s="169"/>
      <c r="FO78" s="169"/>
      <c r="FP78" s="169"/>
      <c r="FQ78" s="169"/>
      <c r="FR78" s="169"/>
      <c r="FS78" s="169"/>
      <c r="FT78" s="169"/>
      <c r="FU78" s="169"/>
      <c r="FV78" s="169"/>
      <c r="FW78" s="169"/>
      <c r="FX78" s="169"/>
      <c r="FY78" s="169"/>
      <c r="FZ78" s="169"/>
      <c r="GA78" s="169"/>
      <c r="GB78" s="169"/>
      <c r="GC78" s="169"/>
    </row>
    <row r="79" spans="1:185" ht="12.75" customHeight="1">
      <c r="A79" s="155" t="s">
        <v>76</v>
      </c>
      <c r="B79" s="156"/>
      <c r="C79" s="157">
        <v>0</v>
      </c>
      <c r="D79" s="166">
        <v>0</v>
      </c>
      <c r="G79" s="266">
        <v>0</v>
      </c>
      <c r="H79" s="267">
        <v>0</v>
      </c>
      <c r="I79" s="266">
        <v>1</v>
      </c>
      <c r="J79" s="267">
        <v>0</v>
      </c>
      <c r="K79" s="266">
        <v>0</v>
      </c>
      <c r="L79" s="267">
        <v>0</v>
      </c>
      <c r="O79" s="268">
        <f t="shared" si="59"/>
        <v>22803</v>
      </c>
      <c r="P79" s="269">
        <f t="shared" si="60"/>
        <v>0</v>
      </c>
      <c r="Q79" s="223">
        <f t="shared" si="61"/>
        <v>22803</v>
      </c>
      <c r="R79" s="138">
        <f t="shared" si="62"/>
        <v>0</v>
      </c>
      <c r="S79" s="270">
        <f t="shared" si="63"/>
        <v>1</v>
      </c>
      <c r="T79" s="223">
        <f t="shared" si="64"/>
        <v>22803</v>
      </c>
      <c r="U79" s="271">
        <f t="shared" si="65"/>
        <v>0</v>
      </c>
      <c r="V79" s="268">
        <f t="shared" si="66"/>
        <v>22803</v>
      </c>
      <c r="W79" s="269">
        <f t="shared" si="67"/>
        <v>0</v>
      </c>
      <c r="X79" s="223">
        <f t="shared" si="68"/>
        <v>22803</v>
      </c>
      <c r="Y79" s="138">
        <f t="shared" si="69"/>
        <v>0</v>
      </c>
      <c r="Z79" s="270">
        <f t="shared" si="70"/>
        <v>1</v>
      </c>
      <c r="AA79" s="223">
        <f t="shared" si="71"/>
        <v>22803</v>
      </c>
      <c r="AB79" s="271">
        <f t="shared" si="72"/>
        <v>0</v>
      </c>
      <c r="AC79" s="268">
        <f t="shared" si="73"/>
        <v>22803</v>
      </c>
      <c r="AD79" s="269">
        <f t="shared" si="74"/>
        <v>0</v>
      </c>
      <c r="AE79" s="223">
        <f t="shared" si="75"/>
        <v>22803</v>
      </c>
      <c r="AF79" s="138">
        <f t="shared" si="76"/>
        <v>0</v>
      </c>
      <c r="AG79" s="270">
        <f t="shared" si="77"/>
        <v>1</v>
      </c>
      <c r="AH79" s="223">
        <f t="shared" si="78"/>
        <v>22803</v>
      </c>
      <c r="AI79" s="271">
        <f t="shared" si="79"/>
        <v>0</v>
      </c>
      <c r="AJ79" s="268">
        <f t="shared" si="80"/>
        <v>22803</v>
      </c>
      <c r="AK79" s="269">
        <f t="shared" si="81"/>
        <v>0</v>
      </c>
      <c r="AL79" s="223">
        <f t="shared" si="82"/>
        <v>22803</v>
      </c>
      <c r="AM79" s="138">
        <f t="shared" si="83"/>
        <v>0</v>
      </c>
      <c r="AN79" s="270">
        <f t="shared" si="84"/>
        <v>1</v>
      </c>
      <c r="AO79" s="223">
        <f t="shared" si="85"/>
        <v>22803</v>
      </c>
      <c r="AP79" s="271">
        <f t="shared" si="86"/>
        <v>0</v>
      </c>
      <c r="AQ79" s="268">
        <f t="shared" si="87"/>
        <v>22803</v>
      </c>
      <c r="AR79" s="269">
        <f t="shared" si="88"/>
        <v>0</v>
      </c>
      <c r="AS79" s="223">
        <f t="shared" si="89"/>
        <v>22803</v>
      </c>
      <c r="AT79" s="138">
        <f t="shared" si="90"/>
        <v>0</v>
      </c>
      <c r="AU79" s="270">
        <f t="shared" si="91"/>
        <v>1</v>
      </c>
      <c r="AV79" s="223">
        <f t="shared" si="92"/>
        <v>22803</v>
      </c>
      <c r="AW79" s="271">
        <f t="shared" si="93"/>
        <v>0</v>
      </c>
      <c r="AX79" s="268">
        <f t="shared" si="94"/>
        <v>22803</v>
      </c>
      <c r="AY79" s="269">
        <f t="shared" si="95"/>
        <v>0</v>
      </c>
      <c r="AZ79" s="223">
        <f t="shared" si="96"/>
        <v>22803</v>
      </c>
      <c r="BA79" s="138">
        <f t="shared" si="97"/>
        <v>0</v>
      </c>
      <c r="BB79" s="270">
        <f t="shared" si="98"/>
        <v>1</v>
      </c>
      <c r="BC79" s="223">
        <f t="shared" si="99"/>
        <v>22803</v>
      </c>
      <c r="BD79" s="271">
        <f t="shared" si="100"/>
        <v>0</v>
      </c>
      <c r="BE79" s="138"/>
      <c r="BF79" s="166">
        <f t="shared" si="101"/>
        <v>0</v>
      </c>
      <c r="BG79" s="166">
        <f t="shared" si="102"/>
        <v>0</v>
      </c>
      <c r="BH79" s="167">
        <f t="shared" si="103"/>
        <v>0</v>
      </c>
      <c r="BM79" s="168" t="e">
        <f t="shared" si="104"/>
        <v>#VALUE!</v>
      </c>
      <c r="BN79" s="169" t="e">
        <f t="shared" si="104"/>
        <v>#VALUE!</v>
      </c>
      <c r="BO79" s="169"/>
      <c r="BP79" s="169"/>
      <c r="BQ79" s="169"/>
      <c r="BR79" s="169"/>
      <c r="BS79" s="169"/>
      <c r="BT79" s="169"/>
      <c r="BU79" s="169"/>
      <c r="BV79" s="169"/>
      <c r="BW79" s="169"/>
      <c r="BX79" s="169"/>
      <c r="BY79" s="169"/>
      <c r="BZ79" s="169"/>
      <c r="CA79" s="169"/>
      <c r="CB79" s="169"/>
      <c r="CC79" s="169"/>
      <c r="CD79" s="169"/>
      <c r="CE79" s="169"/>
      <c r="CF79" s="169"/>
      <c r="CG79" s="169"/>
      <c r="CH79" s="169"/>
      <c r="CI79" s="169"/>
      <c r="CJ79" s="169"/>
      <c r="CK79" s="169"/>
      <c r="CL79" s="169"/>
      <c r="CM79" s="169"/>
      <c r="CN79" s="169"/>
      <c r="CO79" s="169"/>
      <c r="CP79" s="169"/>
      <c r="CQ79" s="169"/>
      <c r="CR79" s="169"/>
      <c r="CS79" s="169"/>
      <c r="CT79" s="169"/>
      <c r="CU79" s="169"/>
      <c r="CV79" s="169"/>
      <c r="CW79" s="169"/>
      <c r="CX79" s="169"/>
      <c r="CY79" s="169"/>
      <c r="CZ79" s="169"/>
      <c r="DA79" s="169"/>
      <c r="DB79" s="169"/>
      <c r="DC79" s="169"/>
      <c r="DD79" s="169"/>
      <c r="DE79" s="169"/>
      <c r="DF79" s="169"/>
      <c r="DG79" s="169"/>
      <c r="DH79" s="169"/>
      <c r="DI79" s="169"/>
      <c r="DJ79" s="169"/>
      <c r="DK79" s="169"/>
      <c r="DL79" s="169"/>
      <c r="DM79" s="169"/>
      <c r="DN79" s="169"/>
      <c r="DO79" s="169"/>
      <c r="DP79" s="169"/>
      <c r="DQ79" s="169"/>
      <c r="DR79" s="169"/>
      <c r="DS79" s="169"/>
      <c r="DT79" s="169"/>
      <c r="DU79" s="169"/>
      <c r="DV79" s="169"/>
      <c r="DW79" s="169"/>
      <c r="DX79" s="169"/>
      <c r="DY79" s="169"/>
      <c r="DZ79" s="169"/>
      <c r="EA79" s="169"/>
      <c r="EB79" s="169"/>
      <c r="EC79" s="169"/>
      <c r="ED79" s="169"/>
      <c r="EE79" s="169"/>
      <c r="EF79" s="169"/>
      <c r="EG79" s="169"/>
      <c r="EH79" s="169"/>
      <c r="EI79" s="169"/>
      <c r="EJ79" s="169"/>
      <c r="EK79" s="169"/>
      <c r="EL79" s="169"/>
      <c r="EM79" s="169"/>
      <c r="EN79" s="169"/>
      <c r="EO79" s="169"/>
      <c r="EP79" s="169"/>
      <c r="EQ79" s="169"/>
      <c r="ER79" s="169"/>
      <c r="ES79" s="169"/>
      <c r="ET79" s="169"/>
      <c r="EU79" s="169"/>
      <c r="EV79" s="169"/>
      <c r="EW79" s="169"/>
      <c r="EX79" s="169"/>
      <c r="EY79" s="169"/>
      <c r="EZ79" s="169"/>
      <c r="FA79" s="169"/>
      <c r="FB79" s="169"/>
      <c r="FC79" s="169"/>
      <c r="FD79" s="169"/>
      <c r="FE79" s="169"/>
      <c r="FF79" s="169"/>
      <c r="FG79" s="169"/>
      <c r="FH79" s="169"/>
      <c r="FI79" s="169"/>
      <c r="FJ79" s="169"/>
      <c r="FK79" s="169"/>
      <c r="FL79" s="169"/>
      <c r="FM79" s="169"/>
      <c r="FN79" s="169"/>
      <c r="FO79" s="169"/>
      <c r="FP79" s="169"/>
      <c r="FQ79" s="169"/>
      <c r="FR79" s="169"/>
      <c r="FS79" s="169"/>
      <c r="FT79" s="169"/>
      <c r="FU79" s="169"/>
      <c r="FV79" s="169"/>
      <c r="FW79" s="169"/>
      <c r="FX79" s="169"/>
      <c r="FY79" s="169"/>
      <c r="FZ79" s="169"/>
      <c r="GA79" s="169"/>
      <c r="GB79" s="169"/>
      <c r="GC79" s="169"/>
    </row>
    <row r="80" spans="1:185">
      <c r="A80" s="155" t="s">
        <v>77</v>
      </c>
      <c r="B80" s="156"/>
      <c r="C80" s="157">
        <v>0.19600000000000001</v>
      </c>
      <c r="D80" s="166">
        <v>0</v>
      </c>
      <c r="G80" s="266">
        <v>0</v>
      </c>
      <c r="H80" s="267">
        <v>0</v>
      </c>
      <c r="I80" s="266">
        <v>1</v>
      </c>
      <c r="J80" s="267">
        <v>0</v>
      </c>
      <c r="K80" s="266">
        <v>0</v>
      </c>
      <c r="L80" s="267">
        <v>0</v>
      </c>
      <c r="O80" s="268">
        <f t="shared" si="59"/>
        <v>22803</v>
      </c>
      <c r="P80" s="269">
        <f t="shared" si="60"/>
        <v>0</v>
      </c>
      <c r="Q80" s="223">
        <f t="shared" si="61"/>
        <v>22803</v>
      </c>
      <c r="R80" s="138">
        <f t="shared" si="62"/>
        <v>0</v>
      </c>
      <c r="S80" s="270">
        <f t="shared" si="63"/>
        <v>1</v>
      </c>
      <c r="T80" s="223">
        <f t="shared" si="64"/>
        <v>22803</v>
      </c>
      <c r="U80" s="271">
        <f t="shared" si="65"/>
        <v>0</v>
      </c>
      <c r="V80" s="268">
        <f t="shared" si="66"/>
        <v>22803</v>
      </c>
      <c r="W80" s="269">
        <f t="shared" si="67"/>
        <v>0</v>
      </c>
      <c r="X80" s="223">
        <f t="shared" si="68"/>
        <v>22803</v>
      </c>
      <c r="Y80" s="138">
        <f t="shared" si="69"/>
        <v>0</v>
      </c>
      <c r="Z80" s="270">
        <f t="shared" si="70"/>
        <v>1</v>
      </c>
      <c r="AA80" s="223">
        <f t="shared" si="71"/>
        <v>22803</v>
      </c>
      <c r="AB80" s="271">
        <f t="shared" si="72"/>
        <v>0</v>
      </c>
      <c r="AC80" s="268">
        <f t="shared" si="73"/>
        <v>22803</v>
      </c>
      <c r="AD80" s="269">
        <f t="shared" si="74"/>
        <v>0</v>
      </c>
      <c r="AE80" s="223">
        <f t="shared" si="75"/>
        <v>22803</v>
      </c>
      <c r="AF80" s="138">
        <f t="shared" si="76"/>
        <v>0</v>
      </c>
      <c r="AG80" s="270">
        <f t="shared" si="77"/>
        <v>1</v>
      </c>
      <c r="AH80" s="223">
        <f t="shared" si="78"/>
        <v>22803</v>
      </c>
      <c r="AI80" s="271">
        <f t="shared" si="79"/>
        <v>0</v>
      </c>
      <c r="AJ80" s="268">
        <f t="shared" si="80"/>
        <v>22803</v>
      </c>
      <c r="AK80" s="269">
        <f t="shared" si="81"/>
        <v>0</v>
      </c>
      <c r="AL80" s="223">
        <f t="shared" si="82"/>
        <v>22803</v>
      </c>
      <c r="AM80" s="138">
        <f t="shared" si="83"/>
        <v>0</v>
      </c>
      <c r="AN80" s="270">
        <f t="shared" si="84"/>
        <v>1</v>
      </c>
      <c r="AO80" s="223">
        <f t="shared" si="85"/>
        <v>22803</v>
      </c>
      <c r="AP80" s="271">
        <f t="shared" si="86"/>
        <v>0</v>
      </c>
      <c r="AQ80" s="268">
        <f t="shared" si="87"/>
        <v>22803</v>
      </c>
      <c r="AR80" s="269">
        <f t="shared" si="88"/>
        <v>0</v>
      </c>
      <c r="AS80" s="223">
        <f t="shared" si="89"/>
        <v>22803</v>
      </c>
      <c r="AT80" s="138">
        <f t="shared" si="90"/>
        <v>0</v>
      </c>
      <c r="AU80" s="270">
        <f t="shared" si="91"/>
        <v>1</v>
      </c>
      <c r="AV80" s="223">
        <f t="shared" si="92"/>
        <v>22803</v>
      </c>
      <c r="AW80" s="271">
        <f t="shared" si="93"/>
        <v>0</v>
      </c>
      <c r="AX80" s="268">
        <f t="shared" si="94"/>
        <v>22803</v>
      </c>
      <c r="AY80" s="269">
        <f t="shared" si="95"/>
        <v>0</v>
      </c>
      <c r="AZ80" s="223">
        <f t="shared" si="96"/>
        <v>22803</v>
      </c>
      <c r="BA80" s="138">
        <f t="shared" si="97"/>
        <v>0</v>
      </c>
      <c r="BB80" s="270">
        <f t="shared" si="98"/>
        <v>1</v>
      </c>
      <c r="BC80" s="223">
        <f t="shared" si="99"/>
        <v>22803</v>
      </c>
      <c r="BD80" s="271">
        <f t="shared" si="100"/>
        <v>0</v>
      </c>
      <c r="BE80" s="138"/>
      <c r="BF80" s="166">
        <f t="shared" si="101"/>
        <v>0</v>
      </c>
      <c r="BG80" s="166">
        <f t="shared" si="102"/>
        <v>0</v>
      </c>
      <c r="BH80" s="167">
        <f t="shared" si="103"/>
        <v>0</v>
      </c>
      <c r="BM80" s="168" t="e">
        <f t="shared" si="104"/>
        <v>#VALUE!</v>
      </c>
      <c r="BN80" s="169" t="e">
        <f t="shared" si="104"/>
        <v>#VALUE!</v>
      </c>
      <c r="BO80" s="169"/>
      <c r="BP80" s="169"/>
      <c r="BQ80" s="169"/>
      <c r="BR80" s="169"/>
      <c r="BS80" s="169"/>
      <c r="BT80" s="169"/>
      <c r="BU80" s="169"/>
      <c r="BV80" s="169"/>
      <c r="BW80" s="169"/>
      <c r="BX80" s="169"/>
      <c r="BY80" s="169"/>
      <c r="BZ80" s="169"/>
      <c r="CA80" s="169"/>
      <c r="CB80" s="169"/>
      <c r="CC80" s="169"/>
      <c r="CD80" s="169"/>
      <c r="CE80" s="169"/>
      <c r="CF80" s="169"/>
      <c r="CG80" s="169"/>
      <c r="CH80" s="169"/>
      <c r="CI80" s="169"/>
      <c r="CJ80" s="169"/>
      <c r="CK80" s="169"/>
      <c r="CL80" s="169"/>
      <c r="CM80" s="169"/>
      <c r="CN80" s="169"/>
      <c r="CO80" s="169"/>
      <c r="CP80" s="169"/>
      <c r="CQ80" s="169"/>
      <c r="CR80" s="169"/>
      <c r="CS80" s="169"/>
      <c r="CT80" s="169"/>
      <c r="CU80" s="169"/>
      <c r="CV80" s="169"/>
      <c r="CW80" s="169"/>
      <c r="CX80" s="169"/>
      <c r="CY80" s="169"/>
      <c r="CZ80" s="169"/>
      <c r="DA80" s="169"/>
      <c r="DB80" s="169"/>
      <c r="DC80" s="169"/>
      <c r="DD80" s="169"/>
      <c r="DE80" s="169"/>
      <c r="DF80" s="169"/>
      <c r="DG80" s="169"/>
      <c r="DH80" s="169"/>
      <c r="DI80" s="169"/>
      <c r="DJ80" s="169"/>
      <c r="DK80" s="169"/>
      <c r="DL80" s="169"/>
      <c r="DM80" s="169"/>
      <c r="DN80" s="169"/>
      <c r="DO80" s="169"/>
      <c r="DP80" s="169"/>
      <c r="DQ80" s="169"/>
      <c r="DR80" s="169"/>
      <c r="DS80" s="169"/>
      <c r="DT80" s="169"/>
      <c r="DU80" s="169"/>
      <c r="DV80" s="169"/>
      <c r="DW80" s="169"/>
      <c r="DX80" s="169"/>
      <c r="DY80" s="169"/>
      <c r="DZ80" s="169"/>
      <c r="EA80" s="169"/>
      <c r="EB80" s="169"/>
      <c r="EC80" s="169"/>
      <c r="ED80" s="169"/>
      <c r="EE80" s="169"/>
      <c r="EF80" s="169"/>
      <c r="EG80" s="169"/>
      <c r="EH80" s="169"/>
      <c r="EI80" s="169"/>
      <c r="EJ80" s="169"/>
      <c r="EK80" s="169"/>
      <c r="EL80" s="169"/>
      <c r="EM80" s="169"/>
      <c r="EN80" s="169"/>
      <c r="EO80" s="169"/>
      <c r="EP80" s="169"/>
      <c r="EQ80" s="169"/>
      <c r="ER80" s="169"/>
      <c r="ES80" s="169"/>
      <c r="ET80" s="169"/>
      <c r="EU80" s="169"/>
      <c r="EV80" s="169"/>
      <c r="EW80" s="169"/>
      <c r="EX80" s="169"/>
      <c r="EY80" s="169"/>
      <c r="EZ80" s="169"/>
      <c r="FA80" s="169"/>
      <c r="FB80" s="169"/>
      <c r="FC80" s="169"/>
      <c r="FD80" s="169"/>
      <c r="FE80" s="169"/>
      <c r="FF80" s="169"/>
      <c r="FG80" s="169"/>
      <c r="FH80" s="169"/>
      <c r="FI80" s="169"/>
      <c r="FJ80" s="169"/>
      <c r="FK80" s="169"/>
      <c r="FL80" s="169"/>
      <c r="FM80" s="169"/>
      <c r="FN80" s="169"/>
      <c r="FO80" s="169"/>
      <c r="FP80" s="169"/>
      <c r="FQ80" s="169"/>
      <c r="FR80" s="169"/>
      <c r="FS80" s="169"/>
      <c r="FT80" s="169"/>
      <c r="FU80" s="169"/>
      <c r="FV80" s="169"/>
      <c r="FW80" s="169"/>
      <c r="FX80" s="169"/>
      <c r="FY80" s="169"/>
      <c r="FZ80" s="169"/>
      <c r="GA80" s="169"/>
      <c r="GB80" s="169"/>
      <c r="GC80" s="169"/>
    </row>
    <row r="81" spans="1:185">
      <c r="A81" s="155" t="s">
        <v>80</v>
      </c>
      <c r="B81" s="156"/>
      <c r="C81" s="157">
        <v>0.19600000000000001</v>
      </c>
      <c r="D81" s="166">
        <v>0</v>
      </c>
      <c r="G81" s="266">
        <v>0</v>
      </c>
      <c r="H81" s="267">
        <v>0</v>
      </c>
      <c r="I81" s="266">
        <v>1</v>
      </c>
      <c r="J81" s="267">
        <v>0</v>
      </c>
      <c r="K81" s="266">
        <v>0</v>
      </c>
      <c r="L81" s="267">
        <v>0</v>
      </c>
      <c r="O81" s="268">
        <f t="shared" si="59"/>
        <v>22803</v>
      </c>
      <c r="P81" s="269">
        <f t="shared" si="60"/>
        <v>0</v>
      </c>
      <c r="Q81" s="223">
        <f t="shared" si="61"/>
        <v>22803</v>
      </c>
      <c r="R81" s="138">
        <f t="shared" si="62"/>
        <v>0</v>
      </c>
      <c r="S81" s="270">
        <f t="shared" si="63"/>
        <v>1</v>
      </c>
      <c r="T81" s="223">
        <f t="shared" si="64"/>
        <v>22803</v>
      </c>
      <c r="U81" s="271">
        <f t="shared" si="65"/>
        <v>0</v>
      </c>
      <c r="V81" s="268">
        <f t="shared" si="66"/>
        <v>22803</v>
      </c>
      <c r="W81" s="269">
        <f t="shared" si="67"/>
        <v>0</v>
      </c>
      <c r="X81" s="223">
        <f t="shared" si="68"/>
        <v>22803</v>
      </c>
      <c r="Y81" s="138">
        <f t="shared" si="69"/>
        <v>0</v>
      </c>
      <c r="Z81" s="270">
        <f t="shared" si="70"/>
        <v>1</v>
      </c>
      <c r="AA81" s="223">
        <f t="shared" si="71"/>
        <v>22803</v>
      </c>
      <c r="AB81" s="271">
        <f t="shared" si="72"/>
        <v>0</v>
      </c>
      <c r="AC81" s="268">
        <f t="shared" si="73"/>
        <v>22803</v>
      </c>
      <c r="AD81" s="269">
        <f t="shared" si="74"/>
        <v>0</v>
      </c>
      <c r="AE81" s="223">
        <f t="shared" si="75"/>
        <v>22803</v>
      </c>
      <c r="AF81" s="138">
        <f t="shared" si="76"/>
        <v>0</v>
      </c>
      <c r="AG81" s="270">
        <f t="shared" si="77"/>
        <v>1</v>
      </c>
      <c r="AH81" s="223">
        <f t="shared" si="78"/>
        <v>22803</v>
      </c>
      <c r="AI81" s="271">
        <f t="shared" si="79"/>
        <v>0</v>
      </c>
      <c r="AJ81" s="268">
        <f t="shared" si="80"/>
        <v>22803</v>
      </c>
      <c r="AK81" s="269">
        <f t="shared" si="81"/>
        <v>0</v>
      </c>
      <c r="AL81" s="223">
        <f t="shared" si="82"/>
        <v>22803</v>
      </c>
      <c r="AM81" s="138">
        <f t="shared" si="83"/>
        <v>0</v>
      </c>
      <c r="AN81" s="270">
        <f t="shared" si="84"/>
        <v>1</v>
      </c>
      <c r="AO81" s="223">
        <f t="shared" si="85"/>
        <v>22803</v>
      </c>
      <c r="AP81" s="271">
        <f t="shared" si="86"/>
        <v>0</v>
      </c>
      <c r="AQ81" s="268">
        <f t="shared" si="87"/>
        <v>22803</v>
      </c>
      <c r="AR81" s="269">
        <f t="shared" si="88"/>
        <v>0</v>
      </c>
      <c r="AS81" s="223">
        <f t="shared" si="89"/>
        <v>22803</v>
      </c>
      <c r="AT81" s="138">
        <f t="shared" si="90"/>
        <v>0</v>
      </c>
      <c r="AU81" s="270">
        <f t="shared" si="91"/>
        <v>1</v>
      </c>
      <c r="AV81" s="223">
        <f t="shared" si="92"/>
        <v>22803</v>
      </c>
      <c r="AW81" s="271">
        <f t="shared" si="93"/>
        <v>0</v>
      </c>
      <c r="AX81" s="268">
        <f t="shared" si="94"/>
        <v>22803</v>
      </c>
      <c r="AY81" s="269">
        <f t="shared" si="95"/>
        <v>0</v>
      </c>
      <c r="AZ81" s="223">
        <f t="shared" si="96"/>
        <v>22803</v>
      </c>
      <c r="BA81" s="138">
        <f t="shared" si="97"/>
        <v>0</v>
      </c>
      <c r="BB81" s="270">
        <f t="shared" si="98"/>
        <v>1</v>
      </c>
      <c r="BC81" s="223">
        <f t="shared" si="99"/>
        <v>22803</v>
      </c>
      <c r="BD81" s="271">
        <f t="shared" si="100"/>
        <v>0</v>
      </c>
      <c r="BE81" s="138"/>
      <c r="BF81" s="166">
        <f t="shared" si="101"/>
        <v>0</v>
      </c>
      <c r="BG81" s="166">
        <f t="shared" si="102"/>
        <v>0</v>
      </c>
      <c r="BH81" s="167">
        <f t="shared" si="103"/>
        <v>0</v>
      </c>
      <c r="BM81" s="168" t="e">
        <f t="shared" si="104"/>
        <v>#VALUE!</v>
      </c>
      <c r="BN81" s="169" t="e">
        <f t="shared" si="104"/>
        <v>#VALUE!</v>
      </c>
      <c r="BO81" s="169"/>
      <c r="BP81" s="169"/>
      <c r="BQ81" s="169"/>
      <c r="BR81" s="169"/>
      <c r="BS81" s="169"/>
      <c r="BT81" s="169"/>
      <c r="BU81" s="169"/>
      <c r="BV81" s="169"/>
      <c r="BW81" s="169"/>
      <c r="BX81" s="169"/>
      <c r="BY81" s="169"/>
      <c r="BZ81" s="169"/>
      <c r="CA81" s="169"/>
      <c r="CB81" s="169"/>
      <c r="CC81" s="169"/>
      <c r="CD81" s="169"/>
      <c r="CE81" s="169"/>
      <c r="CF81" s="169"/>
      <c r="CG81" s="169"/>
      <c r="CH81" s="169"/>
      <c r="CI81" s="169"/>
      <c r="CJ81" s="169"/>
      <c r="CK81" s="169"/>
      <c r="CL81" s="169"/>
      <c r="CM81" s="169"/>
      <c r="CN81" s="169"/>
      <c r="CO81" s="169"/>
      <c r="CP81" s="169"/>
      <c r="CQ81" s="169"/>
      <c r="CR81" s="169"/>
      <c r="CS81" s="169"/>
      <c r="CT81" s="169"/>
      <c r="CU81" s="169"/>
      <c r="CV81" s="169"/>
      <c r="CW81" s="169"/>
      <c r="CX81" s="169"/>
      <c r="CY81" s="169"/>
      <c r="CZ81" s="169"/>
      <c r="DA81" s="169"/>
      <c r="DB81" s="169"/>
      <c r="DC81" s="169"/>
      <c r="DD81" s="169"/>
      <c r="DE81" s="169"/>
      <c r="DF81" s="169"/>
      <c r="DG81" s="169"/>
      <c r="DH81" s="169"/>
      <c r="DI81" s="169"/>
      <c r="DJ81" s="169"/>
      <c r="DK81" s="169"/>
      <c r="DL81" s="169"/>
      <c r="DM81" s="169"/>
      <c r="DN81" s="169"/>
      <c r="DO81" s="169"/>
      <c r="DP81" s="169"/>
      <c r="DQ81" s="169"/>
      <c r="DR81" s="169"/>
      <c r="DS81" s="169"/>
      <c r="DT81" s="169"/>
      <c r="DU81" s="169"/>
      <c r="DV81" s="169"/>
      <c r="DW81" s="169"/>
      <c r="DX81" s="169"/>
      <c r="DY81" s="169"/>
      <c r="DZ81" s="169"/>
      <c r="EA81" s="169"/>
      <c r="EB81" s="169"/>
      <c r="EC81" s="169"/>
      <c r="ED81" s="169"/>
      <c r="EE81" s="169"/>
      <c r="EF81" s="169"/>
      <c r="EG81" s="169"/>
      <c r="EH81" s="169"/>
      <c r="EI81" s="169"/>
      <c r="EJ81" s="169"/>
      <c r="EK81" s="169"/>
      <c r="EL81" s="169"/>
      <c r="EM81" s="169"/>
      <c r="EN81" s="169"/>
      <c r="EO81" s="169"/>
      <c r="EP81" s="169"/>
      <c r="EQ81" s="169"/>
      <c r="ER81" s="169"/>
      <c r="ES81" s="169"/>
      <c r="ET81" s="169"/>
      <c r="EU81" s="169"/>
      <c r="EV81" s="169"/>
      <c r="EW81" s="169"/>
      <c r="EX81" s="169"/>
      <c r="EY81" s="169"/>
      <c r="EZ81" s="169"/>
      <c r="FA81" s="169"/>
      <c r="FB81" s="169"/>
      <c r="FC81" s="169"/>
      <c r="FD81" s="169"/>
      <c r="FE81" s="169"/>
      <c r="FF81" s="169"/>
      <c r="FG81" s="169"/>
      <c r="FH81" s="169"/>
      <c r="FI81" s="169"/>
      <c r="FJ81" s="169"/>
      <c r="FK81" s="169"/>
      <c r="FL81" s="169"/>
      <c r="FM81" s="169"/>
      <c r="FN81" s="169"/>
      <c r="FO81" s="169"/>
      <c r="FP81" s="169"/>
      <c r="FQ81" s="169"/>
      <c r="FR81" s="169"/>
      <c r="FS81" s="169"/>
      <c r="FT81" s="169"/>
      <c r="FU81" s="169"/>
      <c r="FV81" s="169"/>
      <c r="FW81" s="169"/>
      <c r="FX81" s="169"/>
      <c r="FY81" s="169"/>
      <c r="FZ81" s="169"/>
      <c r="GA81" s="169"/>
      <c r="GB81" s="169"/>
      <c r="GC81" s="169"/>
    </row>
    <row r="82" spans="1:185">
      <c r="A82" s="155" t="s">
        <v>78</v>
      </c>
      <c r="B82" s="156"/>
      <c r="C82" s="157">
        <v>0</v>
      </c>
      <c r="D82" s="166">
        <v>0</v>
      </c>
      <c r="G82" s="266">
        <v>0</v>
      </c>
      <c r="H82" s="267">
        <v>0</v>
      </c>
      <c r="I82" s="266">
        <v>1</v>
      </c>
      <c r="J82" s="267">
        <v>0</v>
      </c>
      <c r="K82" s="266">
        <v>0</v>
      </c>
      <c r="L82" s="267">
        <v>0</v>
      </c>
      <c r="O82" s="268">
        <f t="shared" si="59"/>
        <v>22803</v>
      </c>
      <c r="P82" s="269">
        <f t="shared" si="60"/>
        <v>0</v>
      </c>
      <c r="Q82" s="223">
        <f t="shared" si="61"/>
        <v>22803</v>
      </c>
      <c r="R82" s="138">
        <f t="shared" si="62"/>
        <v>0</v>
      </c>
      <c r="S82" s="270">
        <f t="shared" si="63"/>
        <v>1</v>
      </c>
      <c r="T82" s="223">
        <f t="shared" si="64"/>
        <v>22803</v>
      </c>
      <c r="U82" s="271">
        <f t="shared" si="65"/>
        <v>0</v>
      </c>
      <c r="V82" s="268">
        <f t="shared" si="66"/>
        <v>22803</v>
      </c>
      <c r="W82" s="269">
        <f t="shared" si="67"/>
        <v>0</v>
      </c>
      <c r="X82" s="223">
        <f t="shared" si="68"/>
        <v>22803</v>
      </c>
      <c r="Y82" s="138">
        <f t="shared" si="69"/>
        <v>0</v>
      </c>
      <c r="Z82" s="270">
        <f t="shared" si="70"/>
        <v>1</v>
      </c>
      <c r="AA82" s="223">
        <f t="shared" si="71"/>
        <v>22803</v>
      </c>
      <c r="AB82" s="271">
        <f t="shared" si="72"/>
        <v>0</v>
      </c>
      <c r="AC82" s="268">
        <f t="shared" si="73"/>
        <v>22803</v>
      </c>
      <c r="AD82" s="269">
        <f t="shared" si="74"/>
        <v>0</v>
      </c>
      <c r="AE82" s="223">
        <f t="shared" si="75"/>
        <v>22803</v>
      </c>
      <c r="AF82" s="138">
        <f t="shared" si="76"/>
        <v>0</v>
      </c>
      <c r="AG82" s="270">
        <f t="shared" si="77"/>
        <v>1</v>
      </c>
      <c r="AH82" s="223">
        <f t="shared" si="78"/>
        <v>22803</v>
      </c>
      <c r="AI82" s="271">
        <f t="shared" si="79"/>
        <v>0</v>
      </c>
      <c r="AJ82" s="268">
        <f t="shared" si="80"/>
        <v>22803</v>
      </c>
      <c r="AK82" s="269">
        <f t="shared" si="81"/>
        <v>0</v>
      </c>
      <c r="AL82" s="223">
        <f t="shared" si="82"/>
        <v>22803</v>
      </c>
      <c r="AM82" s="138">
        <f t="shared" si="83"/>
        <v>0</v>
      </c>
      <c r="AN82" s="270">
        <f t="shared" si="84"/>
        <v>1</v>
      </c>
      <c r="AO82" s="223">
        <f t="shared" si="85"/>
        <v>22803</v>
      </c>
      <c r="AP82" s="271">
        <f t="shared" si="86"/>
        <v>0</v>
      </c>
      <c r="AQ82" s="268">
        <f t="shared" si="87"/>
        <v>22803</v>
      </c>
      <c r="AR82" s="269">
        <f t="shared" si="88"/>
        <v>0</v>
      </c>
      <c r="AS82" s="223">
        <f t="shared" si="89"/>
        <v>22803</v>
      </c>
      <c r="AT82" s="138">
        <f t="shared" si="90"/>
        <v>0</v>
      </c>
      <c r="AU82" s="270">
        <f t="shared" si="91"/>
        <v>1</v>
      </c>
      <c r="AV82" s="223">
        <f t="shared" si="92"/>
        <v>22803</v>
      </c>
      <c r="AW82" s="271">
        <f t="shared" si="93"/>
        <v>0</v>
      </c>
      <c r="AX82" s="268">
        <f t="shared" si="94"/>
        <v>22803</v>
      </c>
      <c r="AY82" s="269">
        <f t="shared" si="95"/>
        <v>0</v>
      </c>
      <c r="AZ82" s="223">
        <f t="shared" si="96"/>
        <v>22803</v>
      </c>
      <c r="BA82" s="138">
        <f t="shared" si="97"/>
        <v>0</v>
      </c>
      <c r="BB82" s="270">
        <f t="shared" si="98"/>
        <v>1</v>
      </c>
      <c r="BC82" s="223">
        <f t="shared" si="99"/>
        <v>22803</v>
      </c>
      <c r="BD82" s="271">
        <f t="shared" si="100"/>
        <v>0</v>
      </c>
      <c r="BE82" s="138"/>
      <c r="BF82" s="166">
        <f t="shared" si="101"/>
        <v>0</v>
      </c>
      <c r="BG82" s="166">
        <f t="shared" si="102"/>
        <v>0</v>
      </c>
      <c r="BH82" s="167">
        <f t="shared" si="103"/>
        <v>0</v>
      </c>
      <c r="BM82" s="168" t="e">
        <f t="shared" si="104"/>
        <v>#VALUE!</v>
      </c>
      <c r="BN82" s="169" t="e">
        <f t="shared" si="104"/>
        <v>#VALUE!</v>
      </c>
      <c r="BO82" s="169"/>
      <c r="BP82" s="169"/>
      <c r="BQ82" s="169"/>
      <c r="BR82" s="169"/>
      <c r="BS82" s="169"/>
      <c r="BT82" s="169"/>
      <c r="BU82" s="169"/>
      <c r="BV82" s="169"/>
      <c r="BW82" s="169"/>
      <c r="BX82" s="169"/>
      <c r="BY82" s="169"/>
      <c r="BZ82" s="169"/>
      <c r="CA82" s="169"/>
      <c r="CB82" s="169"/>
      <c r="CC82" s="169"/>
      <c r="CD82" s="169"/>
      <c r="CE82" s="169"/>
      <c r="CF82" s="169"/>
      <c r="CG82" s="169"/>
      <c r="CH82" s="169"/>
      <c r="CI82" s="169"/>
      <c r="CJ82" s="169"/>
      <c r="CK82" s="169"/>
      <c r="CL82" s="169"/>
      <c r="CM82" s="169"/>
      <c r="CN82" s="169"/>
      <c r="CO82" s="169"/>
      <c r="CP82" s="169"/>
      <c r="CQ82" s="169"/>
      <c r="CR82" s="169"/>
      <c r="CS82" s="169"/>
      <c r="CT82" s="169"/>
      <c r="CU82" s="169"/>
      <c r="CV82" s="169"/>
      <c r="CW82" s="169"/>
      <c r="CX82" s="169"/>
      <c r="CY82" s="169"/>
      <c r="CZ82" s="169"/>
      <c r="DA82" s="169"/>
      <c r="DB82" s="169"/>
      <c r="DC82" s="169"/>
      <c r="DD82" s="169"/>
      <c r="DE82" s="169"/>
      <c r="DF82" s="169"/>
      <c r="DG82" s="169"/>
      <c r="DH82" s="169"/>
      <c r="DI82" s="169"/>
      <c r="DJ82" s="169"/>
      <c r="DK82" s="169"/>
      <c r="DL82" s="169"/>
      <c r="DM82" s="169"/>
      <c r="DN82" s="169"/>
      <c r="DO82" s="169"/>
      <c r="DP82" s="169"/>
      <c r="DQ82" s="169"/>
      <c r="DR82" s="169"/>
      <c r="DS82" s="169"/>
      <c r="DT82" s="169"/>
      <c r="DU82" s="169"/>
      <c r="DV82" s="169"/>
      <c r="DW82" s="169"/>
      <c r="DX82" s="169"/>
      <c r="DY82" s="169"/>
      <c r="DZ82" s="169"/>
      <c r="EA82" s="169"/>
      <c r="EB82" s="169"/>
      <c r="EC82" s="169"/>
      <c r="ED82" s="169"/>
      <c r="EE82" s="169"/>
      <c r="EF82" s="169"/>
      <c r="EG82" s="169"/>
      <c r="EH82" s="169"/>
      <c r="EI82" s="169"/>
      <c r="EJ82" s="169"/>
      <c r="EK82" s="169"/>
      <c r="EL82" s="169"/>
      <c r="EM82" s="169"/>
      <c r="EN82" s="169"/>
      <c r="EO82" s="169"/>
      <c r="EP82" s="169"/>
      <c r="EQ82" s="169"/>
      <c r="ER82" s="169"/>
      <c r="ES82" s="169"/>
      <c r="ET82" s="169"/>
      <c r="EU82" s="169"/>
      <c r="EV82" s="169"/>
      <c r="EW82" s="169"/>
      <c r="EX82" s="169"/>
      <c r="EY82" s="169"/>
      <c r="EZ82" s="169"/>
      <c r="FA82" s="169"/>
      <c r="FB82" s="169"/>
      <c r="FC82" s="169"/>
      <c r="FD82" s="169"/>
      <c r="FE82" s="169"/>
      <c r="FF82" s="169"/>
      <c r="FG82" s="169"/>
      <c r="FH82" s="169"/>
      <c r="FI82" s="169"/>
      <c r="FJ82" s="169"/>
      <c r="FK82" s="169"/>
      <c r="FL82" s="169"/>
      <c r="FM82" s="169"/>
      <c r="FN82" s="169"/>
      <c r="FO82" s="169"/>
      <c r="FP82" s="169"/>
      <c r="FQ82" s="169"/>
      <c r="FR82" s="169"/>
      <c r="FS82" s="169"/>
      <c r="FT82" s="169"/>
      <c r="FU82" s="169"/>
      <c r="FV82" s="169"/>
      <c r="FW82" s="169"/>
      <c r="FX82" s="169"/>
      <c r="FY82" s="169"/>
      <c r="FZ82" s="169"/>
      <c r="GA82" s="169"/>
      <c r="GB82" s="169"/>
      <c r="GC82" s="169"/>
    </row>
    <row r="83" spans="1:185">
      <c r="A83" s="155" t="s">
        <v>79</v>
      </c>
      <c r="B83" s="156"/>
      <c r="C83" s="851">
        <v>0</v>
      </c>
      <c r="D83" s="269">
        <v>0</v>
      </c>
      <c r="G83" s="266">
        <v>0</v>
      </c>
      <c r="H83" s="267">
        <v>0</v>
      </c>
      <c r="I83" s="266">
        <v>1</v>
      </c>
      <c r="J83" s="267">
        <v>0</v>
      </c>
      <c r="K83" s="266">
        <v>0</v>
      </c>
      <c r="L83" s="267">
        <v>0</v>
      </c>
      <c r="O83" s="268">
        <f t="shared" si="59"/>
        <v>22803</v>
      </c>
      <c r="P83" s="269">
        <f t="shared" si="60"/>
        <v>0</v>
      </c>
      <c r="Q83" s="223">
        <f t="shared" si="61"/>
        <v>22803</v>
      </c>
      <c r="R83" s="138">
        <f t="shared" si="62"/>
        <v>0</v>
      </c>
      <c r="S83" s="270">
        <f t="shared" si="63"/>
        <v>1</v>
      </c>
      <c r="T83" s="223">
        <f t="shared" si="64"/>
        <v>22803</v>
      </c>
      <c r="U83" s="271">
        <f t="shared" si="65"/>
        <v>0</v>
      </c>
      <c r="V83" s="268">
        <f t="shared" si="66"/>
        <v>22803</v>
      </c>
      <c r="W83" s="269">
        <f t="shared" si="67"/>
        <v>0</v>
      </c>
      <c r="X83" s="223">
        <f t="shared" si="68"/>
        <v>22803</v>
      </c>
      <c r="Y83" s="138">
        <f t="shared" si="69"/>
        <v>0</v>
      </c>
      <c r="Z83" s="270">
        <f t="shared" si="70"/>
        <v>1</v>
      </c>
      <c r="AA83" s="223">
        <f t="shared" si="71"/>
        <v>22803</v>
      </c>
      <c r="AB83" s="271">
        <f t="shared" si="72"/>
        <v>0</v>
      </c>
      <c r="AC83" s="268">
        <f t="shared" si="73"/>
        <v>22803</v>
      </c>
      <c r="AD83" s="269">
        <f t="shared" si="74"/>
        <v>0</v>
      </c>
      <c r="AE83" s="223">
        <f t="shared" si="75"/>
        <v>22803</v>
      </c>
      <c r="AF83" s="138">
        <f t="shared" si="76"/>
        <v>0</v>
      </c>
      <c r="AG83" s="270">
        <f t="shared" si="77"/>
        <v>1</v>
      </c>
      <c r="AH83" s="223">
        <f t="shared" si="78"/>
        <v>22803</v>
      </c>
      <c r="AI83" s="271">
        <f t="shared" si="79"/>
        <v>0</v>
      </c>
      <c r="AJ83" s="268">
        <f t="shared" si="80"/>
        <v>22803</v>
      </c>
      <c r="AK83" s="269">
        <f t="shared" si="81"/>
        <v>0</v>
      </c>
      <c r="AL83" s="223">
        <f t="shared" si="82"/>
        <v>22803</v>
      </c>
      <c r="AM83" s="138">
        <f t="shared" si="83"/>
        <v>0</v>
      </c>
      <c r="AN83" s="270">
        <f t="shared" si="84"/>
        <v>1</v>
      </c>
      <c r="AO83" s="223">
        <f t="shared" si="85"/>
        <v>22803</v>
      </c>
      <c r="AP83" s="271">
        <f t="shared" si="86"/>
        <v>0</v>
      </c>
      <c r="AQ83" s="268">
        <f t="shared" si="87"/>
        <v>22803</v>
      </c>
      <c r="AR83" s="269">
        <f t="shared" si="88"/>
        <v>0</v>
      </c>
      <c r="AS83" s="223">
        <f t="shared" si="89"/>
        <v>22803</v>
      </c>
      <c r="AT83" s="138">
        <f t="shared" si="90"/>
        <v>0</v>
      </c>
      <c r="AU83" s="270">
        <f t="shared" si="91"/>
        <v>1</v>
      </c>
      <c r="AV83" s="223">
        <f t="shared" si="92"/>
        <v>22803</v>
      </c>
      <c r="AW83" s="271">
        <f t="shared" si="93"/>
        <v>0</v>
      </c>
      <c r="AX83" s="268">
        <f t="shared" si="94"/>
        <v>22803</v>
      </c>
      <c r="AY83" s="269">
        <f t="shared" si="95"/>
        <v>0</v>
      </c>
      <c r="AZ83" s="223">
        <f t="shared" si="96"/>
        <v>22803</v>
      </c>
      <c r="BA83" s="138">
        <f t="shared" si="97"/>
        <v>0</v>
      </c>
      <c r="BB83" s="270">
        <f t="shared" si="98"/>
        <v>1</v>
      </c>
      <c r="BC83" s="223">
        <f t="shared" si="99"/>
        <v>22803</v>
      </c>
      <c r="BD83" s="271">
        <f t="shared" si="100"/>
        <v>0</v>
      </c>
      <c r="BE83" s="138"/>
      <c r="BF83" s="166">
        <f t="shared" si="101"/>
        <v>0</v>
      </c>
      <c r="BG83" s="166">
        <f t="shared" si="102"/>
        <v>0</v>
      </c>
      <c r="BH83" s="167">
        <f t="shared" si="103"/>
        <v>0</v>
      </c>
      <c r="BM83" s="168" t="e">
        <f t="shared" si="104"/>
        <v>#VALUE!</v>
      </c>
      <c r="BN83" s="169" t="e">
        <f t="shared" si="104"/>
        <v>#VALUE!</v>
      </c>
      <c r="BO83" s="169"/>
      <c r="BP83" s="169"/>
      <c r="BQ83" s="169"/>
      <c r="BR83" s="169"/>
      <c r="BS83" s="169"/>
      <c r="BT83" s="169"/>
      <c r="BU83" s="169"/>
      <c r="BV83" s="169"/>
      <c r="BW83" s="169"/>
      <c r="BX83" s="169"/>
      <c r="BY83" s="169"/>
      <c r="BZ83" s="169"/>
      <c r="CA83" s="169"/>
      <c r="CB83" s="169"/>
      <c r="CC83" s="169"/>
      <c r="CD83" s="169"/>
      <c r="CE83" s="169"/>
      <c r="CF83" s="169"/>
      <c r="CG83" s="169"/>
      <c r="CH83" s="169"/>
      <c r="CI83" s="169"/>
      <c r="CJ83" s="169"/>
      <c r="CK83" s="169"/>
      <c r="CL83" s="169"/>
      <c r="CM83" s="169"/>
      <c r="CN83" s="169"/>
      <c r="CO83" s="169"/>
      <c r="CP83" s="169"/>
      <c r="CQ83" s="169"/>
      <c r="CR83" s="169"/>
      <c r="CS83" s="169"/>
      <c r="CT83" s="169"/>
      <c r="CU83" s="169"/>
      <c r="CV83" s="169"/>
      <c r="CW83" s="169"/>
      <c r="CX83" s="169"/>
      <c r="CY83" s="169"/>
      <c r="CZ83" s="169"/>
      <c r="DA83" s="169"/>
      <c r="DB83" s="169"/>
      <c r="DC83" s="169"/>
      <c r="DD83" s="169"/>
      <c r="DE83" s="169"/>
      <c r="DF83" s="169"/>
      <c r="DG83" s="169"/>
      <c r="DH83" s="169"/>
      <c r="DI83" s="169"/>
      <c r="DJ83" s="169"/>
      <c r="DK83" s="169"/>
      <c r="DL83" s="169"/>
      <c r="DM83" s="169"/>
      <c r="DN83" s="169"/>
      <c r="DO83" s="169"/>
      <c r="DP83" s="169"/>
      <c r="DQ83" s="169"/>
      <c r="DR83" s="169"/>
      <c r="DS83" s="169"/>
      <c r="DT83" s="169"/>
      <c r="DU83" s="169"/>
      <c r="DV83" s="169"/>
      <c r="DW83" s="169"/>
      <c r="DX83" s="169"/>
      <c r="DY83" s="169"/>
      <c r="DZ83" s="169"/>
      <c r="EA83" s="169"/>
      <c r="EB83" s="169"/>
      <c r="EC83" s="169"/>
      <c r="ED83" s="169"/>
      <c r="EE83" s="169"/>
      <c r="EF83" s="169"/>
      <c r="EG83" s="169"/>
      <c r="EH83" s="169"/>
      <c r="EI83" s="169"/>
      <c r="EJ83" s="169"/>
      <c r="EK83" s="169"/>
      <c r="EL83" s="169"/>
      <c r="EM83" s="169"/>
      <c r="EN83" s="169"/>
      <c r="EO83" s="169"/>
      <c r="EP83" s="169"/>
      <c r="EQ83" s="169"/>
      <c r="ER83" s="169"/>
      <c r="ES83" s="169"/>
      <c r="ET83" s="169"/>
      <c r="EU83" s="169"/>
      <c r="EV83" s="169"/>
      <c r="EW83" s="169"/>
      <c r="EX83" s="169"/>
      <c r="EY83" s="169"/>
      <c r="EZ83" s="169"/>
      <c r="FA83" s="169"/>
      <c r="FB83" s="169"/>
      <c r="FC83" s="169"/>
      <c r="FD83" s="169"/>
      <c r="FE83" s="169"/>
      <c r="FF83" s="169"/>
      <c r="FG83" s="169"/>
      <c r="FH83" s="169"/>
      <c r="FI83" s="169"/>
      <c r="FJ83" s="169"/>
      <c r="FK83" s="169"/>
      <c r="FL83" s="169"/>
      <c r="FM83" s="169"/>
      <c r="FN83" s="169"/>
      <c r="FO83" s="169"/>
      <c r="FP83" s="169"/>
      <c r="FQ83" s="169"/>
      <c r="FR83" s="169"/>
      <c r="FS83" s="169"/>
      <c r="FT83" s="169"/>
      <c r="FU83" s="169"/>
      <c r="FV83" s="169"/>
      <c r="FW83" s="169"/>
      <c r="FX83" s="169"/>
      <c r="FY83" s="169"/>
      <c r="FZ83" s="169"/>
      <c r="GA83" s="169"/>
      <c r="GB83" s="169"/>
      <c r="GC83" s="169"/>
    </row>
    <row r="84" spans="1:185">
      <c r="A84" s="155" t="s">
        <v>558</v>
      </c>
      <c r="B84" s="156"/>
      <c r="C84" s="851">
        <v>0.19600000000000001</v>
      </c>
      <c r="D84" s="269">
        <v>0</v>
      </c>
      <c r="G84" s="266">
        <v>0</v>
      </c>
      <c r="H84" s="267">
        <v>0</v>
      </c>
      <c r="I84" s="266">
        <v>1</v>
      </c>
      <c r="J84" s="267">
        <v>0</v>
      </c>
      <c r="K84" s="266">
        <v>0</v>
      </c>
      <c r="L84" s="267">
        <v>0</v>
      </c>
      <c r="O84" s="268">
        <f t="shared" si="59"/>
        <v>22803</v>
      </c>
      <c r="P84" s="269">
        <f t="shared" si="60"/>
        <v>0</v>
      </c>
      <c r="Q84" s="223">
        <f t="shared" si="61"/>
        <v>22803</v>
      </c>
      <c r="R84" s="138">
        <f>($BG84*T1_CAF_POURC*$I84)/S84</f>
        <v>0</v>
      </c>
      <c r="S84" s="270">
        <f t="shared" si="63"/>
        <v>1</v>
      </c>
      <c r="T84" s="223">
        <f t="shared" si="64"/>
        <v>22803</v>
      </c>
      <c r="U84" s="271">
        <f t="shared" si="65"/>
        <v>0</v>
      </c>
      <c r="V84" s="268">
        <f t="shared" si="66"/>
        <v>22803</v>
      </c>
      <c r="W84" s="269">
        <f t="shared" si="67"/>
        <v>0</v>
      </c>
      <c r="X84" s="223">
        <f t="shared" si="68"/>
        <v>22803</v>
      </c>
      <c r="Y84" s="138">
        <f>($BG84*T2_CAF_POURC*$I84)/Z84</f>
        <v>0</v>
      </c>
      <c r="Z84" s="270">
        <f t="shared" si="70"/>
        <v>1</v>
      </c>
      <c r="AA84" s="223">
        <f t="shared" si="71"/>
        <v>22803</v>
      </c>
      <c r="AB84" s="271">
        <f t="shared" si="72"/>
        <v>0</v>
      </c>
      <c r="AC84" s="268">
        <f t="shared" si="73"/>
        <v>22803</v>
      </c>
      <c r="AD84" s="269">
        <f t="shared" si="74"/>
        <v>0</v>
      </c>
      <c r="AE84" s="223">
        <f t="shared" si="75"/>
        <v>22803</v>
      </c>
      <c r="AF84" s="138">
        <f>($BG84*T3_CAF_POURC*$I84)/AG84</f>
        <v>0</v>
      </c>
      <c r="AG84" s="270">
        <f t="shared" si="77"/>
        <v>1</v>
      </c>
      <c r="AH84" s="223">
        <f t="shared" si="78"/>
        <v>22803</v>
      </c>
      <c r="AI84" s="271">
        <f t="shared" si="79"/>
        <v>0</v>
      </c>
      <c r="AJ84" s="268">
        <f t="shared" si="80"/>
        <v>22803</v>
      </c>
      <c r="AK84" s="269">
        <f t="shared" si="81"/>
        <v>0</v>
      </c>
      <c r="AL84" s="223">
        <f t="shared" si="82"/>
        <v>22803</v>
      </c>
      <c r="AM84" s="138">
        <f>($BG84*T4_CAF_POURC*$I84)/AN84</f>
        <v>0</v>
      </c>
      <c r="AN84" s="270">
        <f t="shared" si="84"/>
        <v>1</v>
      </c>
      <c r="AO84" s="223">
        <f t="shared" si="85"/>
        <v>22803</v>
      </c>
      <c r="AP84" s="271">
        <f t="shared" si="86"/>
        <v>0</v>
      </c>
      <c r="AQ84" s="268">
        <f t="shared" si="87"/>
        <v>22803</v>
      </c>
      <c r="AR84" s="269">
        <f t="shared" si="88"/>
        <v>0</v>
      </c>
      <c r="AS84" s="223">
        <f t="shared" si="89"/>
        <v>22803</v>
      </c>
      <c r="AT84" s="138">
        <f>($BG84*T5_CAF_POURC*$I84)/AU84</f>
        <v>0</v>
      </c>
      <c r="AU84" s="270">
        <f t="shared" si="91"/>
        <v>1</v>
      </c>
      <c r="AV84" s="223">
        <f t="shared" si="92"/>
        <v>22803</v>
      </c>
      <c r="AW84" s="271">
        <f t="shared" si="93"/>
        <v>0</v>
      </c>
      <c r="AX84" s="268">
        <f t="shared" si="94"/>
        <v>22803</v>
      </c>
      <c r="AY84" s="269">
        <f t="shared" si="95"/>
        <v>0</v>
      </c>
      <c r="AZ84" s="223">
        <f t="shared" si="96"/>
        <v>22803</v>
      </c>
      <c r="BA84" s="138">
        <f>($BG84*T6_CAF_POURC*$I84)/BB84</f>
        <v>0</v>
      </c>
      <c r="BB84" s="270">
        <f t="shared" si="98"/>
        <v>1</v>
      </c>
      <c r="BC84" s="223">
        <f t="shared" si="99"/>
        <v>22803</v>
      </c>
      <c r="BD84" s="271">
        <f t="shared" si="100"/>
        <v>0</v>
      </c>
      <c r="BE84" s="138"/>
      <c r="BF84" s="166">
        <f>D84</f>
        <v>0</v>
      </c>
      <c r="BG84" s="166">
        <f>ROUND(BF84*(1+C84),0)</f>
        <v>0</v>
      </c>
      <c r="BH84" s="167">
        <f>BG84-BF84</f>
        <v>0</v>
      </c>
      <c r="BM84" s="168" t="e">
        <f t="shared" si="104"/>
        <v>#VALUE!</v>
      </c>
      <c r="BN84" s="169" t="e">
        <f t="shared" si="104"/>
        <v>#VALUE!</v>
      </c>
      <c r="BO84" s="169"/>
      <c r="BP84" s="169"/>
      <c r="BQ84" s="169"/>
      <c r="BR84" s="169"/>
      <c r="BS84" s="169"/>
      <c r="BT84" s="169"/>
      <c r="BU84" s="169"/>
      <c r="BV84" s="169"/>
      <c r="BW84" s="169"/>
      <c r="BX84" s="169"/>
      <c r="BY84" s="169"/>
      <c r="BZ84" s="169"/>
      <c r="CA84" s="169"/>
      <c r="CB84" s="169"/>
      <c r="CC84" s="169"/>
      <c r="CD84" s="169"/>
      <c r="CE84" s="169"/>
      <c r="CF84" s="169"/>
      <c r="CG84" s="169"/>
      <c r="CH84" s="169"/>
      <c r="CI84" s="169"/>
      <c r="CJ84" s="169"/>
      <c r="CK84" s="169"/>
      <c r="CL84" s="169"/>
      <c r="CM84" s="169"/>
      <c r="CN84" s="169"/>
      <c r="CO84" s="169"/>
      <c r="CP84" s="169"/>
      <c r="CQ84" s="169"/>
      <c r="CR84" s="169"/>
      <c r="CS84" s="169"/>
      <c r="CT84" s="169"/>
      <c r="CU84" s="169"/>
      <c r="CV84" s="169"/>
      <c r="CW84" s="169"/>
      <c r="CX84" s="169"/>
      <c r="CY84" s="169"/>
      <c r="CZ84" s="169"/>
      <c r="DA84" s="169"/>
      <c r="DB84" s="169"/>
      <c r="DC84" s="169"/>
      <c r="DD84" s="169"/>
      <c r="DE84" s="169"/>
      <c r="DF84" s="169"/>
      <c r="DG84" s="169"/>
      <c r="DH84" s="169"/>
      <c r="DI84" s="169"/>
      <c r="DJ84" s="169"/>
      <c r="DK84" s="169"/>
      <c r="DL84" s="169"/>
      <c r="DM84" s="169"/>
      <c r="DN84" s="169"/>
      <c r="DO84" s="169"/>
      <c r="DP84" s="169"/>
      <c r="DQ84" s="169"/>
      <c r="DR84" s="169"/>
      <c r="DS84" s="169"/>
      <c r="DT84" s="169"/>
      <c r="DU84" s="169"/>
      <c r="DV84" s="169"/>
      <c r="DW84" s="169"/>
      <c r="DX84" s="169"/>
      <c r="DY84" s="169"/>
      <c r="DZ84" s="169"/>
      <c r="EA84" s="169"/>
      <c r="EB84" s="169"/>
      <c r="EC84" s="169"/>
      <c r="ED84" s="169"/>
      <c r="EE84" s="169"/>
      <c r="EF84" s="169"/>
      <c r="EG84" s="169"/>
      <c r="EH84" s="169"/>
      <c r="EI84" s="169"/>
      <c r="EJ84" s="169"/>
      <c r="EK84" s="169"/>
      <c r="EL84" s="169"/>
      <c r="EM84" s="169"/>
      <c r="EN84" s="169"/>
      <c r="EO84" s="169"/>
      <c r="EP84" s="169"/>
      <c r="EQ84" s="169"/>
      <c r="ER84" s="169"/>
      <c r="ES84" s="169"/>
      <c r="ET84" s="169"/>
      <c r="EU84" s="169"/>
      <c r="EV84" s="169"/>
      <c r="EW84" s="169"/>
      <c r="EX84" s="169"/>
      <c r="EY84" s="169"/>
      <c r="EZ84" s="169"/>
      <c r="FA84" s="169"/>
      <c r="FB84" s="169"/>
      <c r="FC84" s="169"/>
      <c r="FD84" s="169"/>
      <c r="FE84" s="169"/>
      <c r="FF84" s="169"/>
      <c r="FG84" s="169"/>
      <c r="FH84" s="169"/>
      <c r="FI84" s="169"/>
      <c r="FJ84" s="169"/>
      <c r="FK84" s="169"/>
      <c r="FL84" s="169"/>
      <c r="FM84" s="169"/>
      <c r="FN84" s="169"/>
      <c r="FO84" s="169"/>
      <c r="FP84" s="169"/>
      <c r="FQ84" s="169"/>
      <c r="FR84" s="169"/>
      <c r="FS84" s="169"/>
      <c r="FT84" s="169"/>
      <c r="FU84" s="169"/>
      <c r="FV84" s="169"/>
      <c r="FW84" s="169"/>
      <c r="FX84" s="169"/>
      <c r="FY84" s="169"/>
      <c r="FZ84" s="169"/>
      <c r="GA84" s="169"/>
      <c r="GB84" s="169"/>
      <c r="GC84" s="169"/>
    </row>
    <row r="85" spans="1:185" ht="13.8" thickBot="1">
      <c r="A85" s="175" t="s">
        <v>559</v>
      </c>
      <c r="B85" s="156"/>
      <c r="C85" s="851">
        <v>0</v>
      </c>
      <c r="D85" s="269">
        <v>0</v>
      </c>
      <c r="G85" s="266">
        <v>0</v>
      </c>
      <c r="H85" s="267">
        <v>0</v>
      </c>
      <c r="I85" s="266">
        <v>1</v>
      </c>
      <c r="J85" s="267">
        <v>0</v>
      </c>
      <c r="K85" s="266">
        <v>0</v>
      </c>
      <c r="L85" s="267">
        <v>0</v>
      </c>
      <c r="O85" s="268">
        <f t="shared" si="59"/>
        <v>22803</v>
      </c>
      <c r="P85" s="269">
        <f t="shared" si="60"/>
        <v>0</v>
      </c>
      <c r="Q85" s="223">
        <f t="shared" si="61"/>
        <v>22803</v>
      </c>
      <c r="R85" s="138">
        <f t="shared" si="62"/>
        <v>0</v>
      </c>
      <c r="S85" s="270">
        <f t="shared" si="63"/>
        <v>1</v>
      </c>
      <c r="T85" s="223">
        <f t="shared" si="64"/>
        <v>22803</v>
      </c>
      <c r="U85" s="271">
        <f t="shared" si="65"/>
        <v>0</v>
      </c>
      <c r="V85" s="268">
        <f t="shared" si="66"/>
        <v>22803</v>
      </c>
      <c r="W85" s="269">
        <f t="shared" si="67"/>
        <v>0</v>
      </c>
      <c r="X85" s="223">
        <f t="shared" si="68"/>
        <v>22803</v>
      </c>
      <c r="Y85" s="138">
        <f t="shared" si="69"/>
        <v>0</v>
      </c>
      <c r="Z85" s="270">
        <f t="shared" si="70"/>
        <v>1</v>
      </c>
      <c r="AA85" s="223">
        <f t="shared" si="71"/>
        <v>22803</v>
      </c>
      <c r="AB85" s="271">
        <f t="shared" si="72"/>
        <v>0</v>
      </c>
      <c r="AC85" s="268">
        <f t="shared" si="73"/>
        <v>22803</v>
      </c>
      <c r="AD85" s="269">
        <f t="shared" si="74"/>
        <v>0</v>
      </c>
      <c r="AE85" s="223">
        <f t="shared" si="75"/>
        <v>22803</v>
      </c>
      <c r="AF85" s="138">
        <f t="shared" si="76"/>
        <v>0</v>
      </c>
      <c r="AG85" s="270">
        <f t="shared" si="77"/>
        <v>1</v>
      </c>
      <c r="AH85" s="223">
        <f t="shared" si="78"/>
        <v>22803</v>
      </c>
      <c r="AI85" s="271">
        <f t="shared" si="79"/>
        <v>0</v>
      </c>
      <c r="AJ85" s="268">
        <f t="shared" si="80"/>
        <v>22803</v>
      </c>
      <c r="AK85" s="269">
        <f t="shared" si="81"/>
        <v>0</v>
      </c>
      <c r="AL85" s="223">
        <f t="shared" si="82"/>
        <v>22803</v>
      </c>
      <c r="AM85" s="138">
        <f t="shared" si="83"/>
        <v>0</v>
      </c>
      <c r="AN85" s="270">
        <f t="shared" si="84"/>
        <v>1</v>
      </c>
      <c r="AO85" s="223">
        <f t="shared" si="85"/>
        <v>22803</v>
      </c>
      <c r="AP85" s="271">
        <f t="shared" si="86"/>
        <v>0</v>
      </c>
      <c r="AQ85" s="268">
        <f t="shared" si="87"/>
        <v>22803</v>
      </c>
      <c r="AR85" s="269">
        <f t="shared" si="88"/>
        <v>0</v>
      </c>
      <c r="AS85" s="223">
        <f t="shared" si="89"/>
        <v>22803</v>
      </c>
      <c r="AT85" s="138">
        <f t="shared" si="90"/>
        <v>0</v>
      </c>
      <c r="AU85" s="270">
        <f t="shared" si="91"/>
        <v>1</v>
      </c>
      <c r="AV85" s="223">
        <f t="shared" si="92"/>
        <v>22803</v>
      </c>
      <c r="AW85" s="271">
        <f t="shared" si="93"/>
        <v>0</v>
      </c>
      <c r="AX85" s="268">
        <f t="shared" si="94"/>
        <v>22803</v>
      </c>
      <c r="AY85" s="269">
        <f t="shared" si="95"/>
        <v>0</v>
      </c>
      <c r="AZ85" s="223">
        <f t="shared" si="96"/>
        <v>22803</v>
      </c>
      <c r="BA85" s="138">
        <f t="shared" si="97"/>
        <v>0</v>
      </c>
      <c r="BB85" s="270">
        <f t="shared" si="98"/>
        <v>1</v>
      </c>
      <c r="BC85" s="223">
        <f t="shared" si="99"/>
        <v>22803</v>
      </c>
      <c r="BD85" s="271">
        <f t="shared" si="100"/>
        <v>0</v>
      </c>
      <c r="BE85" s="138"/>
      <c r="BF85" s="166">
        <f t="shared" si="101"/>
        <v>0</v>
      </c>
      <c r="BG85" s="166">
        <f t="shared" si="102"/>
        <v>0</v>
      </c>
      <c r="BH85" s="167">
        <f t="shared" si="103"/>
        <v>0</v>
      </c>
      <c r="BM85" s="168" t="e">
        <f t="shared" si="104"/>
        <v>#VALUE!</v>
      </c>
      <c r="BN85" s="169" t="e">
        <f t="shared" si="104"/>
        <v>#VALUE!</v>
      </c>
      <c r="BO85" s="169"/>
      <c r="BP85" s="169"/>
      <c r="BQ85" s="169"/>
      <c r="BR85" s="169"/>
      <c r="BS85" s="169"/>
      <c r="BT85" s="169"/>
      <c r="BU85" s="169"/>
      <c r="BV85" s="169"/>
      <c r="BW85" s="169"/>
      <c r="BX85" s="169"/>
      <c r="BY85" s="169"/>
      <c r="BZ85" s="169"/>
      <c r="CA85" s="169"/>
      <c r="CB85" s="169"/>
      <c r="CC85" s="169"/>
      <c r="CD85" s="169"/>
      <c r="CE85" s="169"/>
      <c r="CF85" s="169"/>
      <c r="CG85" s="169"/>
      <c r="CH85" s="169"/>
      <c r="CI85" s="169"/>
      <c r="CJ85" s="169"/>
      <c r="CK85" s="169"/>
      <c r="CL85" s="169"/>
      <c r="CM85" s="169"/>
      <c r="CN85" s="169"/>
      <c r="CO85" s="169"/>
      <c r="CP85" s="169"/>
      <c r="CQ85" s="169"/>
      <c r="CR85" s="169"/>
      <c r="CS85" s="169"/>
      <c r="CT85" s="169"/>
      <c r="CU85" s="169"/>
      <c r="CV85" s="169"/>
      <c r="CW85" s="169"/>
      <c r="CX85" s="169"/>
      <c r="CY85" s="169"/>
      <c r="CZ85" s="169"/>
      <c r="DA85" s="169"/>
      <c r="DB85" s="169"/>
      <c r="DC85" s="169"/>
      <c r="DD85" s="169"/>
      <c r="DE85" s="169"/>
      <c r="DF85" s="169"/>
      <c r="DG85" s="169"/>
      <c r="DH85" s="169"/>
      <c r="DI85" s="169"/>
      <c r="DJ85" s="169"/>
      <c r="DK85" s="169"/>
      <c r="DL85" s="169"/>
      <c r="DM85" s="169"/>
      <c r="DN85" s="169"/>
      <c r="DO85" s="169"/>
      <c r="DP85" s="169"/>
      <c r="DQ85" s="169"/>
      <c r="DR85" s="169"/>
      <c r="DS85" s="169"/>
      <c r="DT85" s="169"/>
      <c r="DU85" s="169"/>
      <c r="DV85" s="169"/>
      <c r="DW85" s="169"/>
      <c r="DX85" s="169"/>
      <c r="DY85" s="169"/>
      <c r="DZ85" s="169"/>
      <c r="EA85" s="169"/>
      <c r="EB85" s="169"/>
      <c r="EC85" s="169"/>
      <c r="ED85" s="169"/>
      <c r="EE85" s="169"/>
      <c r="EF85" s="169"/>
      <c r="EG85" s="169"/>
      <c r="EH85" s="169"/>
      <c r="EI85" s="169"/>
      <c r="EJ85" s="169"/>
      <c r="EK85" s="169"/>
      <c r="EL85" s="169"/>
      <c r="EM85" s="169"/>
      <c r="EN85" s="169"/>
      <c r="EO85" s="169"/>
      <c r="EP85" s="169"/>
      <c r="EQ85" s="169"/>
      <c r="ER85" s="169"/>
      <c r="ES85" s="169"/>
      <c r="ET85" s="169"/>
      <c r="EU85" s="169"/>
      <c r="EV85" s="169"/>
      <c r="EW85" s="169"/>
      <c r="EX85" s="169"/>
      <c r="EY85" s="169"/>
      <c r="EZ85" s="169"/>
      <c r="FA85" s="169"/>
      <c r="FB85" s="169"/>
      <c r="FC85" s="169"/>
      <c r="FD85" s="169"/>
      <c r="FE85" s="169"/>
      <c r="FF85" s="169"/>
      <c r="FG85" s="169"/>
      <c r="FH85" s="169"/>
      <c r="FI85" s="169"/>
      <c r="FJ85" s="169"/>
      <c r="FK85" s="169"/>
      <c r="FL85" s="169"/>
      <c r="FM85" s="169"/>
      <c r="FN85" s="169"/>
      <c r="FO85" s="169"/>
      <c r="FP85" s="169"/>
      <c r="FQ85" s="169"/>
      <c r="FR85" s="169"/>
      <c r="FS85" s="169"/>
      <c r="FT85" s="169"/>
      <c r="FU85" s="169"/>
      <c r="FV85" s="169"/>
      <c r="FW85" s="169"/>
      <c r="FX85" s="169"/>
      <c r="FY85" s="169"/>
      <c r="FZ85" s="169"/>
      <c r="GA85" s="169"/>
      <c r="GB85" s="169"/>
      <c r="GC85" s="169"/>
    </row>
    <row r="86" spans="1:185" ht="13.8" thickBot="1">
      <c r="B86" s="150"/>
      <c r="C86" s="157"/>
      <c r="D86" s="132" t="s">
        <v>37</v>
      </c>
      <c r="G86" s="210" t="s">
        <v>82</v>
      </c>
      <c r="H86" s="212" t="s">
        <v>66</v>
      </c>
      <c r="I86" s="210" t="s">
        <v>67</v>
      </c>
      <c r="J86" s="212" t="s">
        <v>66</v>
      </c>
      <c r="K86" s="210" t="s">
        <v>68</v>
      </c>
      <c r="L86" s="212" t="s">
        <v>66</v>
      </c>
      <c r="BF86" s="166"/>
      <c r="BG86" s="166"/>
      <c r="BH86" s="167"/>
      <c r="BM86" s="153"/>
      <c r="BN86" s="154"/>
      <c r="BO86" s="154"/>
      <c r="BP86" s="154"/>
      <c r="BQ86" s="154"/>
      <c r="BR86" s="154"/>
      <c r="BS86" s="154"/>
      <c r="BT86" s="154"/>
      <c r="BU86" s="154"/>
      <c r="BV86" s="154"/>
      <c r="BW86" s="154"/>
      <c r="BX86" s="154"/>
      <c r="BY86" s="154"/>
      <c r="BZ86" s="154"/>
      <c r="CA86" s="154"/>
      <c r="CB86" s="154"/>
      <c r="CC86" s="154"/>
      <c r="CD86" s="154"/>
      <c r="CE86" s="154"/>
      <c r="CF86" s="154"/>
      <c r="CG86" s="154"/>
      <c r="CH86" s="154"/>
      <c r="CI86" s="154"/>
      <c r="CJ86" s="154"/>
      <c r="CK86" s="154"/>
      <c r="CL86" s="154"/>
      <c r="CM86" s="154"/>
      <c r="CN86" s="154"/>
      <c r="CO86" s="154"/>
      <c r="CP86" s="154"/>
      <c r="CQ86" s="154"/>
      <c r="CR86" s="154"/>
      <c r="CS86" s="154"/>
      <c r="CT86" s="154"/>
      <c r="CU86" s="154"/>
      <c r="CV86" s="154"/>
      <c r="CW86" s="154"/>
      <c r="CX86" s="154"/>
      <c r="CY86" s="154"/>
      <c r="CZ86" s="154"/>
      <c r="DA86" s="154"/>
      <c r="DB86" s="154"/>
      <c r="DC86" s="154"/>
      <c r="DD86" s="154"/>
      <c r="DE86" s="154"/>
      <c r="DF86" s="154"/>
      <c r="DG86" s="154"/>
      <c r="DH86" s="154"/>
      <c r="DI86" s="154"/>
      <c r="DJ86" s="154"/>
      <c r="DK86" s="154"/>
      <c r="DL86" s="154"/>
      <c r="DM86" s="154"/>
      <c r="DN86" s="154"/>
      <c r="DO86" s="154"/>
      <c r="DP86" s="154"/>
      <c r="DQ86" s="154"/>
      <c r="DR86" s="154"/>
      <c r="DS86" s="154"/>
      <c r="DT86" s="154"/>
      <c r="DU86" s="154"/>
      <c r="DV86" s="154"/>
      <c r="DW86" s="154"/>
      <c r="DX86" s="154"/>
      <c r="DY86" s="154"/>
      <c r="DZ86" s="154"/>
      <c r="EA86" s="154"/>
      <c r="EB86" s="154"/>
      <c r="EC86" s="154"/>
      <c r="ED86" s="154"/>
      <c r="EE86" s="154"/>
      <c r="EF86" s="154"/>
      <c r="EG86" s="154"/>
      <c r="EH86" s="154"/>
      <c r="EI86" s="154"/>
      <c r="EJ86" s="154"/>
      <c r="EK86" s="154"/>
      <c r="EL86" s="154"/>
      <c r="EM86" s="154"/>
      <c r="EN86" s="154"/>
      <c r="EO86" s="154"/>
      <c r="EP86" s="154"/>
      <c r="EQ86" s="154"/>
      <c r="ER86" s="154"/>
      <c r="ES86" s="154"/>
      <c r="ET86" s="154"/>
      <c r="EU86" s="154"/>
      <c r="EV86" s="154"/>
      <c r="EW86" s="154"/>
      <c r="EX86" s="154"/>
      <c r="EY86" s="154"/>
      <c r="EZ86" s="154"/>
      <c r="FA86" s="154"/>
      <c r="FB86" s="154"/>
      <c r="FC86" s="154"/>
      <c r="FD86" s="154"/>
      <c r="FE86" s="154"/>
      <c r="FF86" s="154"/>
      <c r="FG86" s="154"/>
      <c r="FH86" s="154"/>
      <c r="FI86" s="154"/>
      <c r="FJ86" s="154"/>
      <c r="FK86" s="154"/>
      <c r="FL86" s="154"/>
      <c r="FM86" s="154"/>
      <c r="FN86" s="154"/>
      <c r="FO86" s="154"/>
      <c r="FP86" s="154"/>
      <c r="FQ86" s="154"/>
      <c r="FR86" s="154"/>
      <c r="FS86" s="154"/>
      <c r="FT86" s="154"/>
      <c r="FU86" s="154"/>
      <c r="FV86" s="154"/>
      <c r="FW86" s="154"/>
      <c r="FX86" s="154"/>
      <c r="FY86" s="154"/>
      <c r="FZ86" s="154"/>
      <c r="GA86" s="154"/>
      <c r="GB86" s="154"/>
      <c r="GC86" s="154"/>
    </row>
    <row r="87" spans="1:185" ht="14.1" customHeight="1">
      <c r="A87" s="155" t="s">
        <v>83</v>
      </c>
      <c r="B87" s="156"/>
      <c r="C87" s="157">
        <v>0.19600000000000001</v>
      </c>
      <c r="D87" s="220">
        <v>0</v>
      </c>
      <c r="G87" s="258">
        <v>0.5</v>
      </c>
      <c r="H87" s="259">
        <v>0</v>
      </c>
      <c r="I87" s="258">
        <v>0.5</v>
      </c>
      <c r="J87" s="259">
        <v>6</v>
      </c>
      <c r="K87" s="258">
        <v>0</v>
      </c>
      <c r="L87" s="259">
        <v>0</v>
      </c>
      <c r="O87" s="260">
        <f t="shared" ref="O87:O94" si="105">T1_AO+DEC_HIN+$H87</f>
        <v>22803</v>
      </c>
      <c r="P87" s="261">
        <f t="shared" ref="P87:P94" si="106">$BG87*T1_CAF_POURC*$G87</f>
        <v>0</v>
      </c>
      <c r="Q87" s="262">
        <f t="shared" ref="Q87:Q94" si="107">T1_DT+DEC_HIN</f>
        <v>22803</v>
      </c>
      <c r="R87" s="263">
        <f t="shared" ref="R87:R93" si="108">($BG87*T1_CAF_POURC*$I87)/S87</f>
        <v>0</v>
      </c>
      <c r="S87" s="264">
        <f t="shared" ref="S87:S94" si="109">T1_DUR+$J87</f>
        <v>7</v>
      </c>
      <c r="T87" s="262">
        <f t="shared" ref="T87:T94" si="110">T1_LI+DEC_HIN+$L87</f>
        <v>22803</v>
      </c>
      <c r="U87" s="265">
        <f t="shared" ref="U87:U94" si="111">$BG87*T1_CAF_POURC*$K87</f>
        <v>0</v>
      </c>
      <c r="V87" s="260">
        <f t="shared" ref="V87:V94" si="112">T2_AO+DEC_HIN+$H87</f>
        <v>22803</v>
      </c>
      <c r="W87" s="261">
        <f t="shared" ref="W87:W94" si="113">$BG87*T2_CAF_POURC*$G87</f>
        <v>0</v>
      </c>
      <c r="X87" s="262">
        <f t="shared" ref="X87:X94" si="114">T2_DT+DEC_HIN</f>
        <v>22803</v>
      </c>
      <c r="Y87" s="263">
        <f t="shared" ref="Y87:Y93" si="115">($BG87*T2_CAF_POURC*$I87)/Z87</f>
        <v>0</v>
      </c>
      <c r="Z87" s="264">
        <f t="shared" ref="Z87:Z94" si="116">T2_DUR+$J87</f>
        <v>7</v>
      </c>
      <c r="AA87" s="262">
        <f t="shared" ref="AA87:AA94" si="117">T2_LI+DEC_HIN+$L87</f>
        <v>22803</v>
      </c>
      <c r="AB87" s="265">
        <f t="shared" ref="AB87:AB94" si="118">$BG87*T2_CAF_POURC*$K87</f>
        <v>0</v>
      </c>
      <c r="AC87" s="260">
        <f t="shared" ref="AC87:AC94" si="119">T3_AO+DEC_HIN+$H87</f>
        <v>22803</v>
      </c>
      <c r="AD87" s="261">
        <f t="shared" ref="AD87:AD94" si="120">$BG87*T3_CAF_POURC*$G87</f>
        <v>0</v>
      </c>
      <c r="AE87" s="262">
        <f t="shared" ref="AE87:AE94" si="121">T3_DT+DEC_HIN</f>
        <v>22803</v>
      </c>
      <c r="AF87" s="263">
        <f t="shared" ref="AF87:AF93" si="122">($BG87*T3_CAF_POURC*$I87)/AG87</f>
        <v>0</v>
      </c>
      <c r="AG87" s="264">
        <f t="shared" ref="AG87:AG94" si="123">T3_DUR+$J87</f>
        <v>7</v>
      </c>
      <c r="AH87" s="262">
        <f t="shared" ref="AH87:AH94" si="124">T3_LI+DEC_HIN+$L87</f>
        <v>22803</v>
      </c>
      <c r="AI87" s="265">
        <f t="shared" ref="AI87:AI94" si="125">$BG87*T3_CAF_POURC*$K87</f>
        <v>0</v>
      </c>
      <c r="AJ87" s="260">
        <f t="shared" ref="AJ87:AJ94" si="126">T4_AO+DEC_HIN+$H87</f>
        <v>22803</v>
      </c>
      <c r="AK87" s="261">
        <f t="shared" ref="AK87:AK94" si="127">$BG87*T4_CAF_POURC*$G87</f>
        <v>0</v>
      </c>
      <c r="AL87" s="262">
        <f t="shared" ref="AL87:AL94" si="128">T4_DT+DEC_HIN</f>
        <v>22803</v>
      </c>
      <c r="AM87" s="263">
        <f t="shared" ref="AM87:AM93" si="129">($BG87*T4_CAF_POURC*$I87)/AN87</f>
        <v>0</v>
      </c>
      <c r="AN87" s="264">
        <f t="shared" ref="AN87:AN94" si="130">T4_DUR+$J87</f>
        <v>7</v>
      </c>
      <c r="AO87" s="262">
        <f t="shared" ref="AO87:AO94" si="131">T4_LI+DEC_HIN+$L87</f>
        <v>22803</v>
      </c>
      <c r="AP87" s="265">
        <f t="shared" ref="AP87:AP94" si="132">$BG87*T4_CAF_POURC*$K87</f>
        <v>0</v>
      </c>
      <c r="AQ87" s="260">
        <f t="shared" ref="AQ87:AQ94" si="133">T5_AO+DEC_HIN+$H87</f>
        <v>22803</v>
      </c>
      <c r="AR87" s="261">
        <f t="shared" ref="AR87:AR94" si="134">$BG87*T5_CAF_POURC*$G87</f>
        <v>0</v>
      </c>
      <c r="AS87" s="262">
        <f t="shared" ref="AS87:AS94" si="135">T5_DT+DEC_HIN</f>
        <v>22803</v>
      </c>
      <c r="AT87" s="263">
        <f t="shared" ref="AT87:AT93" si="136">($BG87*T5_CAF_POURC*$I87)/AU87</f>
        <v>0</v>
      </c>
      <c r="AU87" s="264">
        <f t="shared" ref="AU87:AU94" si="137">T5_DUR+$J87</f>
        <v>7</v>
      </c>
      <c r="AV87" s="262">
        <f t="shared" ref="AV87:AV94" si="138">T5_LI+DEC_HIN+$L87</f>
        <v>22803</v>
      </c>
      <c r="AW87" s="265">
        <f t="shared" ref="AW87:AW94" si="139">$BG87*T5_CAF_POURC*$K87</f>
        <v>0</v>
      </c>
      <c r="AX87" s="260">
        <f t="shared" ref="AX87:AX94" si="140">T6_AO+DEC_HIN+$H87</f>
        <v>22803</v>
      </c>
      <c r="AY87" s="261">
        <f t="shared" ref="AY87:AY94" si="141">$BG87*T6_CAF_POURC*$G87</f>
        <v>0</v>
      </c>
      <c r="AZ87" s="262">
        <f t="shared" ref="AZ87:AZ94" si="142">T6_DT+DEC_HIN</f>
        <v>22803</v>
      </c>
      <c r="BA87" s="263">
        <f t="shared" ref="BA87:BA93" si="143">($BG87*T6_CAF_POURC*$I87)/BB87</f>
        <v>0</v>
      </c>
      <c r="BB87" s="264">
        <f t="shared" ref="BB87:BB94" si="144">T6_DUR+$J87</f>
        <v>7</v>
      </c>
      <c r="BC87" s="262">
        <f t="shared" ref="BC87:BC94" si="145">T6_LI+DEC_HIN+$L87</f>
        <v>22803</v>
      </c>
      <c r="BD87" s="265">
        <f t="shared" ref="BD87:BD94" si="146">$BG87*T6_CAF_POURC*$K87</f>
        <v>0</v>
      </c>
      <c r="BE87" s="138"/>
      <c r="BF87" s="166">
        <f t="shared" ref="BF87:BF93" si="147">D87</f>
        <v>0</v>
      </c>
      <c r="BG87" s="166">
        <f>ROUND(BF87*(1+C87),0)</f>
        <v>0</v>
      </c>
      <c r="BH87" s="167">
        <f t="shared" ref="BH87:BH93" si="148">BG87-BF87</f>
        <v>0</v>
      </c>
      <c r="BM87" s="168" t="e">
        <f t="shared" ref="BM87:BN94" si="149">IF(BM$3&gt;=$O87,$P87,0)+IF(BM$3&gt;=$Q87,$R87*MIN(BM$3-$Q87+1,$S87),0)+IF(BM$3&gt;=$T87,$U87,0)+IF(BM$3&gt;=$V87,$W87,0)+IF(BM$3&gt;=$X87,$Y87*MIN(BM$3-$X87+1,$Z87),0)+IF(BM$3&gt;=$AA87,$AB87,0)+IF(BM$3&gt;=$AC87,$AD87,0)+IF(BM$3&gt;=$AE87,$AF87*MIN(BM$3-$AE87+1,$AG87),0)+IF(BM$3&gt;=$AH87,$AI87,0)+IF(BM$3&gt;=$AJ87,$AK87,0)+IF(BM$3&gt;=$AL87,$AM87*MIN(BM$3-$AL87+1,$AN87),0)+IF(BM$3&gt;=$AO87,$AP87,0)+IF(BM$3&gt;=$AQ87,$AR87,0)+IF(BM$3&gt;=$AS87,$AT87*MIN(BM$3-$AS87+1,$AU87),0)+IF(BM$3&gt;=$AV87,$AW87,0)+IF(BM$3&gt;=$AX87,$AY87,0)+IF(BM$3&gt;=$AZ87,$BA87*MIN(BM$3-$AZ87+1,$BB87),0)+IF(BM$3&gt;=$BC87,$BD87,0)</f>
        <v>#VALUE!</v>
      </c>
      <c r="BN87" s="169" t="e">
        <f t="shared" si="149"/>
        <v>#VALUE!</v>
      </c>
      <c r="BO87" s="169"/>
      <c r="BP87" s="169"/>
      <c r="BQ87" s="169"/>
      <c r="BR87" s="169"/>
      <c r="BS87" s="169"/>
      <c r="BT87" s="169"/>
      <c r="BU87" s="169"/>
      <c r="BV87" s="169"/>
      <c r="BW87" s="169"/>
      <c r="BX87" s="169"/>
      <c r="BY87" s="169"/>
      <c r="BZ87" s="169"/>
      <c r="CA87" s="169"/>
      <c r="CB87" s="169"/>
      <c r="CC87" s="169"/>
      <c r="CD87" s="169"/>
      <c r="CE87" s="169"/>
      <c r="CF87" s="169"/>
      <c r="CG87" s="169"/>
      <c r="CH87" s="169"/>
      <c r="CI87" s="169"/>
      <c r="CJ87" s="169"/>
      <c r="CK87" s="169"/>
      <c r="CL87" s="169"/>
      <c r="CM87" s="169"/>
      <c r="CN87" s="169"/>
      <c r="CO87" s="169"/>
      <c r="CP87" s="169"/>
      <c r="CQ87" s="169"/>
      <c r="CR87" s="169"/>
      <c r="CS87" s="169"/>
      <c r="CT87" s="169"/>
      <c r="CU87" s="169"/>
      <c r="CV87" s="169"/>
      <c r="CW87" s="169"/>
      <c r="CX87" s="169"/>
      <c r="CY87" s="169"/>
      <c r="CZ87" s="169"/>
      <c r="DA87" s="169"/>
      <c r="DB87" s="169"/>
      <c r="DC87" s="169"/>
      <c r="DD87" s="169"/>
      <c r="DE87" s="169"/>
      <c r="DF87" s="169"/>
      <c r="DG87" s="169"/>
      <c r="DH87" s="169"/>
      <c r="DI87" s="169"/>
      <c r="DJ87" s="169"/>
      <c r="DK87" s="169"/>
      <c r="DL87" s="169"/>
      <c r="DM87" s="169"/>
      <c r="DN87" s="169"/>
      <c r="DO87" s="169"/>
      <c r="DP87" s="169"/>
      <c r="DQ87" s="169"/>
      <c r="DR87" s="169"/>
      <c r="DS87" s="169"/>
      <c r="DT87" s="169"/>
      <c r="DU87" s="169"/>
      <c r="DV87" s="169"/>
      <c r="DW87" s="169"/>
      <c r="DX87" s="169"/>
      <c r="DY87" s="169"/>
      <c r="DZ87" s="169"/>
      <c r="EA87" s="169"/>
      <c r="EB87" s="169"/>
      <c r="EC87" s="169"/>
      <c r="ED87" s="169"/>
      <c r="EE87" s="169"/>
      <c r="EF87" s="169"/>
      <c r="EG87" s="169"/>
      <c r="EH87" s="169"/>
      <c r="EI87" s="169"/>
      <c r="EJ87" s="169"/>
      <c r="EK87" s="169"/>
      <c r="EL87" s="169"/>
      <c r="EM87" s="169"/>
      <c r="EN87" s="169"/>
      <c r="EO87" s="169"/>
      <c r="EP87" s="169"/>
      <c r="EQ87" s="169"/>
      <c r="ER87" s="169"/>
      <c r="ES87" s="169"/>
      <c r="ET87" s="169"/>
      <c r="EU87" s="169"/>
      <c r="EV87" s="169"/>
      <c r="EW87" s="169"/>
      <c r="EX87" s="169"/>
      <c r="EY87" s="169"/>
      <c r="EZ87" s="169"/>
      <c r="FA87" s="169"/>
      <c r="FB87" s="169"/>
      <c r="FC87" s="169"/>
      <c r="FD87" s="169"/>
      <c r="FE87" s="169"/>
      <c r="FF87" s="169"/>
      <c r="FG87" s="169"/>
      <c r="FH87" s="169"/>
      <c r="FI87" s="169"/>
      <c r="FJ87" s="169"/>
      <c r="FK87" s="169"/>
      <c r="FL87" s="169"/>
      <c r="FM87" s="169"/>
      <c r="FN87" s="169"/>
      <c r="FO87" s="169"/>
      <c r="FP87" s="169"/>
      <c r="FQ87" s="169"/>
      <c r="FR87" s="169"/>
      <c r="FS87" s="169"/>
      <c r="FT87" s="169"/>
      <c r="FU87" s="169"/>
      <c r="FV87" s="169"/>
      <c r="FW87" s="169"/>
      <c r="FX87" s="169"/>
      <c r="FY87" s="169"/>
      <c r="FZ87" s="169"/>
      <c r="GA87" s="169"/>
      <c r="GB87" s="169"/>
      <c r="GC87" s="169"/>
    </row>
    <row r="88" spans="1:185" ht="12.75" customHeight="1">
      <c r="A88" s="155" t="s">
        <v>84</v>
      </c>
      <c r="B88" s="156"/>
      <c r="C88" s="157">
        <v>0.19600000000000001</v>
      </c>
      <c r="D88" s="166">
        <v>0</v>
      </c>
      <c r="E88" s="280"/>
      <c r="F88" s="280"/>
      <c r="G88" s="266">
        <v>0.2</v>
      </c>
      <c r="H88" s="267">
        <v>0</v>
      </c>
      <c r="I88" s="266">
        <v>0.8</v>
      </c>
      <c r="J88" s="267">
        <v>6</v>
      </c>
      <c r="K88" s="266">
        <v>0</v>
      </c>
      <c r="L88" s="267">
        <v>0</v>
      </c>
      <c r="O88" s="268">
        <f t="shared" si="105"/>
        <v>22803</v>
      </c>
      <c r="P88" s="269">
        <f t="shared" si="106"/>
        <v>0</v>
      </c>
      <c r="Q88" s="223">
        <f t="shared" si="107"/>
        <v>22803</v>
      </c>
      <c r="R88" s="138">
        <f t="shared" si="108"/>
        <v>0</v>
      </c>
      <c r="S88" s="270">
        <f t="shared" si="109"/>
        <v>7</v>
      </c>
      <c r="T88" s="223">
        <f t="shared" si="110"/>
        <v>22803</v>
      </c>
      <c r="U88" s="271">
        <f t="shared" si="111"/>
        <v>0</v>
      </c>
      <c r="V88" s="268">
        <f t="shared" si="112"/>
        <v>22803</v>
      </c>
      <c r="W88" s="269">
        <f t="shared" si="113"/>
        <v>0</v>
      </c>
      <c r="X88" s="223">
        <f t="shared" si="114"/>
        <v>22803</v>
      </c>
      <c r="Y88" s="138">
        <f t="shared" si="115"/>
        <v>0</v>
      </c>
      <c r="Z88" s="270">
        <f t="shared" si="116"/>
        <v>7</v>
      </c>
      <c r="AA88" s="223">
        <f t="shared" si="117"/>
        <v>22803</v>
      </c>
      <c r="AB88" s="271">
        <f t="shared" si="118"/>
        <v>0</v>
      </c>
      <c r="AC88" s="268">
        <f t="shared" si="119"/>
        <v>22803</v>
      </c>
      <c r="AD88" s="269">
        <f t="shared" si="120"/>
        <v>0</v>
      </c>
      <c r="AE88" s="223">
        <f t="shared" si="121"/>
        <v>22803</v>
      </c>
      <c r="AF88" s="138">
        <f t="shared" si="122"/>
        <v>0</v>
      </c>
      <c r="AG88" s="270">
        <f t="shared" si="123"/>
        <v>7</v>
      </c>
      <c r="AH88" s="223">
        <f t="shared" si="124"/>
        <v>22803</v>
      </c>
      <c r="AI88" s="271">
        <f t="shared" si="125"/>
        <v>0</v>
      </c>
      <c r="AJ88" s="268">
        <f t="shared" si="126"/>
        <v>22803</v>
      </c>
      <c r="AK88" s="269">
        <f t="shared" si="127"/>
        <v>0</v>
      </c>
      <c r="AL88" s="223">
        <f t="shared" si="128"/>
        <v>22803</v>
      </c>
      <c r="AM88" s="138">
        <f t="shared" si="129"/>
        <v>0</v>
      </c>
      <c r="AN88" s="270">
        <f t="shared" si="130"/>
        <v>7</v>
      </c>
      <c r="AO88" s="223">
        <f t="shared" si="131"/>
        <v>22803</v>
      </c>
      <c r="AP88" s="271">
        <f t="shared" si="132"/>
        <v>0</v>
      </c>
      <c r="AQ88" s="268">
        <f t="shared" si="133"/>
        <v>22803</v>
      </c>
      <c r="AR88" s="269">
        <f t="shared" si="134"/>
        <v>0</v>
      </c>
      <c r="AS88" s="223">
        <f t="shared" si="135"/>
        <v>22803</v>
      </c>
      <c r="AT88" s="138">
        <f t="shared" si="136"/>
        <v>0</v>
      </c>
      <c r="AU88" s="270">
        <f t="shared" si="137"/>
        <v>7</v>
      </c>
      <c r="AV88" s="223">
        <f t="shared" si="138"/>
        <v>22803</v>
      </c>
      <c r="AW88" s="271">
        <f t="shared" si="139"/>
        <v>0</v>
      </c>
      <c r="AX88" s="268">
        <f t="shared" si="140"/>
        <v>22803</v>
      </c>
      <c r="AY88" s="269">
        <f t="shared" si="141"/>
        <v>0</v>
      </c>
      <c r="AZ88" s="223">
        <f t="shared" si="142"/>
        <v>22803</v>
      </c>
      <c r="BA88" s="138">
        <f t="shared" si="143"/>
        <v>0</v>
      </c>
      <c r="BB88" s="270">
        <f t="shared" si="144"/>
        <v>7</v>
      </c>
      <c r="BC88" s="223">
        <f t="shared" si="145"/>
        <v>22803</v>
      </c>
      <c r="BD88" s="271">
        <f t="shared" si="146"/>
        <v>0</v>
      </c>
      <c r="BE88" s="138"/>
      <c r="BF88" s="166">
        <f t="shared" si="147"/>
        <v>0</v>
      </c>
      <c r="BG88" s="166">
        <f t="shared" ref="BG88:BG94" si="150">ROUND(BF88*(1+C88),0)</f>
        <v>0</v>
      </c>
      <c r="BH88" s="167">
        <f t="shared" si="148"/>
        <v>0</v>
      </c>
      <c r="BM88" s="168" t="e">
        <f t="shared" si="149"/>
        <v>#VALUE!</v>
      </c>
      <c r="BN88" s="169" t="e">
        <f t="shared" si="149"/>
        <v>#VALUE!</v>
      </c>
      <c r="BO88" s="169"/>
      <c r="BP88" s="169"/>
      <c r="BQ88" s="169"/>
      <c r="BR88" s="169"/>
      <c r="BS88" s="169"/>
      <c r="BT88" s="169"/>
      <c r="BU88" s="169"/>
      <c r="BV88" s="169"/>
      <c r="BW88" s="169"/>
      <c r="BX88" s="169"/>
      <c r="BY88" s="169"/>
      <c r="BZ88" s="169"/>
      <c r="CA88" s="169"/>
      <c r="CB88" s="169"/>
      <c r="CC88" s="169"/>
      <c r="CD88" s="169"/>
      <c r="CE88" s="169"/>
      <c r="CF88" s="169"/>
      <c r="CG88" s="169"/>
      <c r="CH88" s="169"/>
      <c r="CI88" s="169"/>
      <c r="CJ88" s="169"/>
      <c r="CK88" s="169"/>
      <c r="CL88" s="169"/>
      <c r="CM88" s="169"/>
      <c r="CN88" s="169"/>
      <c r="CO88" s="169"/>
      <c r="CP88" s="169"/>
      <c r="CQ88" s="169"/>
      <c r="CR88" s="169"/>
      <c r="CS88" s="169"/>
      <c r="CT88" s="169"/>
      <c r="CU88" s="169"/>
      <c r="CV88" s="169"/>
      <c r="CW88" s="169"/>
      <c r="CX88" s="169"/>
      <c r="CY88" s="169"/>
      <c r="CZ88" s="169"/>
      <c r="DA88" s="169"/>
      <c r="DB88" s="169"/>
      <c r="DC88" s="169"/>
      <c r="DD88" s="169"/>
      <c r="DE88" s="169"/>
      <c r="DF88" s="169"/>
      <c r="DG88" s="169"/>
      <c r="DH88" s="169"/>
      <c r="DI88" s="169"/>
      <c r="DJ88" s="169"/>
      <c r="DK88" s="169"/>
      <c r="DL88" s="169"/>
      <c r="DM88" s="169"/>
      <c r="DN88" s="169"/>
      <c r="DO88" s="169"/>
      <c r="DP88" s="169"/>
      <c r="DQ88" s="169"/>
      <c r="DR88" s="169"/>
      <c r="DS88" s="169"/>
      <c r="DT88" s="169"/>
      <c r="DU88" s="169"/>
      <c r="DV88" s="169"/>
      <c r="DW88" s="169"/>
      <c r="DX88" s="169"/>
      <c r="DY88" s="169"/>
      <c r="DZ88" s="169"/>
      <c r="EA88" s="169"/>
      <c r="EB88" s="169"/>
      <c r="EC88" s="169"/>
      <c r="ED88" s="169"/>
      <c r="EE88" s="169"/>
      <c r="EF88" s="169"/>
      <c r="EG88" s="169"/>
      <c r="EH88" s="169"/>
      <c r="EI88" s="169"/>
      <c r="EJ88" s="169"/>
      <c r="EK88" s="169"/>
      <c r="EL88" s="169"/>
      <c r="EM88" s="169"/>
      <c r="EN88" s="169"/>
      <c r="EO88" s="169"/>
      <c r="EP88" s="169"/>
      <c r="EQ88" s="169"/>
      <c r="ER88" s="169"/>
      <c r="ES88" s="169"/>
      <c r="ET88" s="169"/>
      <c r="EU88" s="169"/>
      <c r="EV88" s="169"/>
      <c r="EW88" s="169"/>
      <c r="EX88" s="169"/>
      <c r="EY88" s="169"/>
      <c r="EZ88" s="169"/>
      <c r="FA88" s="169"/>
      <c r="FB88" s="169"/>
      <c r="FC88" s="169"/>
      <c r="FD88" s="169"/>
      <c r="FE88" s="169"/>
      <c r="FF88" s="169"/>
      <c r="FG88" s="169"/>
      <c r="FH88" s="169"/>
      <c r="FI88" s="169"/>
      <c r="FJ88" s="169"/>
      <c r="FK88" s="169"/>
      <c r="FL88" s="169"/>
      <c r="FM88" s="169"/>
      <c r="FN88" s="169"/>
      <c r="FO88" s="169"/>
      <c r="FP88" s="169"/>
      <c r="FQ88" s="169"/>
      <c r="FR88" s="169"/>
      <c r="FS88" s="169"/>
      <c r="FT88" s="169"/>
      <c r="FU88" s="169"/>
      <c r="FV88" s="169"/>
      <c r="FW88" s="169"/>
      <c r="FX88" s="169"/>
      <c r="FY88" s="169"/>
      <c r="FZ88" s="169"/>
      <c r="GA88" s="169"/>
      <c r="GB88" s="169"/>
      <c r="GC88" s="169"/>
    </row>
    <row r="89" spans="1:185">
      <c r="A89" s="155" t="s">
        <v>423</v>
      </c>
      <c r="B89" s="156"/>
      <c r="C89" s="157">
        <v>0.19600000000000001</v>
      </c>
      <c r="D89" s="166">
        <v>0</v>
      </c>
      <c r="E89" s="280"/>
      <c r="F89" s="280"/>
      <c r="G89" s="266">
        <v>0.3</v>
      </c>
      <c r="H89" s="267">
        <v>1</v>
      </c>
      <c r="I89" s="266">
        <v>0.7</v>
      </c>
      <c r="J89" s="267">
        <v>6</v>
      </c>
      <c r="K89" s="266">
        <v>0</v>
      </c>
      <c r="L89" s="267">
        <v>0</v>
      </c>
      <c r="O89" s="268">
        <f t="shared" si="105"/>
        <v>22804</v>
      </c>
      <c r="P89" s="269">
        <f t="shared" si="106"/>
        <v>0</v>
      </c>
      <c r="Q89" s="223">
        <f t="shared" si="107"/>
        <v>22803</v>
      </c>
      <c r="R89" s="138">
        <f t="shared" si="108"/>
        <v>0</v>
      </c>
      <c r="S89" s="270">
        <f t="shared" si="109"/>
        <v>7</v>
      </c>
      <c r="T89" s="223">
        <f t="shared" si="110"/>
        <v>22803</v>
      </c>
      <c r="U89" s="271">
        <f t="shared" si="111"/>
        <v>0</v>
      </c>
      <c r="V89" s="268">
        <f t="shared" si="112"/>
        <v>22804</v>
      </c>
      <c r="W89" s="269">
        <f t="shared" si="113"/>
        <v>0</v>
      </c>
      <c r="X89" s="223">
        <f t="shared" si="114"/>
        <v>22803</v>
      </c>
      <c r="Y89" s="138">
        <f t="shared" si="115"/>
        <v>0</v>
      </c>
      <c r="Z89" s="270">
        <f t="shared" si="116"/>
        <v>7</v>
      </c>
      <c r="AA89" s="223">
        <f t="shared" si="117"/>
        <v>22803</v>
      </c>
      <c r="AB89" s="271">
        <f t="shared" si="118"/>
        <v>0</v>
      </c>
      <c r="AC89" s="268">
        <f t="shared" si="119"/>
        <v>22804</v>
      </c>
      <c r="AD89" s="269">
        <f t="shared" si="120"/>
        <v>0</v>
      </c>
      <c r="AE89" s="223">
        <f t="shared" si="121"/>
        <v>22803</v>
      </c>
      <c r="AF89" s="138">
        <f t="shared" si="122"/>
        <v>0</v>
      </c>
      <c r="AG89" s="270">
        <f t="shared" si="123"/>
        <v>7</v>
      </c>
      <c r="AH89" s="223">
        <f t="shared" si="124"/>
        <v>22803</v>
      </c>
      <c r="AI89" s="271">
        <f t="shared" si="125"/>
        <v>0</v>
      </c>
      <c r="AJ89" s="268">
        <f t="shared" si="126"/>
        <v>22804</v>
      </c>
      <c r="AK89" s="269">
        <f t="shared" si="127"/>
        <v>0</v>
      </c>
      <c r="AL89" s="223">
        <f t="shared" si="128"/>
        <v>22803</v>
      </c>
      <c r="AM89" s="138">
        <f t="shared" si="129"/>
        <v>0</v>
      </c>
      <c r="AN89" s="270">
        <f t="shared" si="130"/>
        <v>7</v>
      </c>
      <c r="AO89" s="223">
        <f t="shared" si="131"/>
        <v>22803</v>
      </c>
      <c r="AP89" s="271">
        <f t="shared" si="132"/>
        <v>0</v>
      </c>
      <c r="AQ89" s="268">
        <f t="shared" si="133"/>
        <v>22804</v>
      </c>
      <c r="AR89" s="269">
        <f t="shared" si="134"/>
        <v>0</v>
      </c>
      <c r="AS89" s="223">
        <f t="shared" si="135"/>
        <v>22803</v>
      </c>
      <c r="AT89" s="138">
        <f t="shared" si="136"/>
        <v>0</v>
      </c>
      <c r="AU89" s="270">
        <f t="shared" si="137"/>
        <v>7</v>
      </c>
      <c r="AV89" s="223">
        <f t="shared" si="138"/>
        <v>22803</v>
      </c>
      <c r="AW89" s="271">
        <f t="shared" si="139"/>
        <v>0</v>
      </c>
      <c r="AX89" s="268">
        <f t="shared" si="140"/>
        <v>22804</v>
      </c>
      <c r="AY89" s="269">
        <f t="shared" si="141"/>
        <v>0</v>
      </c>
      <c r="AZ89" s="223">
        <f t="shared" si="142"/>
        <v>22803</v>
      </c>
      <c r="BA89" s="138">
        <f t="shared" si="143"/>
        <v>0</v>
      </c>
      <c r="BB89" s="270">
        <f t="shared" si="144"/>
        <v>7</v>
      </c>
      <c r="BC89" s="223">
        <f t="shared" si="145"/>
        <v>22803</v>
      </c>
      <c r="BD89" s="271">
        <f t="shared" si="146"/>
        <v>0</v>
      </c>
      <c r="BE89" s="138"/>
      <c r="BF89" s="166">
        <f t="shared" si="147"/>
        <v>0</v>
      </c>
      <c r="BG89" s="166">
        <f t="shared" si="150"/>
        <v>0</v>
      </c>
      <c r="BH89" s="167">
        <f t="shared" si="148"/>
        <v>0</v>
      </c>
      <c r="BM89" s="168" t="e">
        <f t="shared" si="149"/>
        <v>#VALUE!</v>
      </c>
      <c r="BN89" s="169" t="e">
        <f t="shared" si="149"/>
        <v>#VALUE!</v>
      </c>
      <c r="BO89" s="169"/>
      <c r="BP89" s="169"/>
      <c r="BQ89" s="169"/>
      <c r="BR89" s="169"/>
      <c r="BS89" s="169"/>
      <c r="BT89" s="169"/>
      <c r="BU89" s="169"/>
      <c r="BV89" s="169"/>
      <c r="BW89" s="169"/>
      <c r="BX89" s="169"/>
      <c r="BY89" s="169"/>
      <c r="BZ89" s="169"/>
      <c r="CA89" s="169"/>
      <c r="CB89" s="169"/>
      <c r="CC89" s="169"/>
      <c r="CD89" s="169"/>
      <c r="CE89" s="169"/>
      <c r="CF89" s="169"/>
      <c r="CG89" s="169"/>
      <c r="CH89" s="169"/>
      <c r="CI89" s="169"/>
      <c r="CJ89" s="169"/>
      <c r="CK89" s="169"/>
      <c r="CL89" s="169"/>
      <c r="CM89" s="169"/>
      <c r="CN89" s="169"/>
      <c r="CO89" s="169"/>
      <c r="CP89" s="169"/>
      <c r="CQ89" s="169"/>
      <c r="CR89" s="169"/>
      <c r="CS89" s="169"/>
      <c r="CT89" s="169"/>
      <c r="CU89" s="169"/>
      <c r="CV89" s="169"/>
      <c r="CW89" s="169"/>
      <c r="CX89" s="169"/>
      <c r="CY89" s="169"/>
      <c r="CZ89" s="169"/>
      <c r="DA89" s="169"/>
      <c r="DB89" s="169"/>
      <c r="DC89" s="169"/>
      <c r="DD89" s="169"/>
      <c r="DE89" s="169"/>
      <c r="DF89" s="169"/>
      <c r="DG89" s="169"/>
      <c r="DH89" s="169"/>
      <c r="DI89" s="169"/>
      <c r="DJ89" s="169"/>
      <c r="DK89" s="169"/>
      <c r="DL89" s="169"/>
      <c r="DM89" s="169"/>
      <c r="DN89" s="169"/>
      <c r="DO89" s="169"/>
      <c r="DP89" s="169"/>
      <c r="DQ89" s="169"/>
      <c r="DR89" s="169"/>
      <c r="DS89" s="169"/>
      <c r="DT89" s="169"/>
      <c r="DU89" s="169"/>
      <c r="DV89" s="169"/>
      <c r="DW89" s="169"/>
      <c r="DX89" s="169"/>
      <c r="DY89" s="169"/>
      <c r="DZ89" s="169"/>
      <c r="EA89" s="169"/>
      <c r="EB89" s="169"/>
      <c r="EC89" s="169"/>
      <c r="ED89" s="169"/>
      <c r="EE89" s="169"/>
      <c r="EF89" s="169"/>
      <c r="EG89" s="169"/>
      <c r="EH89" s="169"/>
      <c r="EI89" s="169"/>
      <c r="EJ89" s="169"/>
      <c r="EK89" s="169"/>
      <c r="EL89" s="169"/>
      <c r="EM89" s="169"/>
      <c r="EN89" s="169"/>
      <c r="EO89" s="169"/>
      <c r="EP89" s="169"/>
      <c r="EQ89" s="169"/>
      <c r="ER89" s="169"/>
      <c r="ES89" s="169"/>
      <c r="ET89" s="169"/>
      <c r="EU89" s="169"/>
      <c r="EV89" s="169"/>
      <c r="EW89" s="169"/>
      <c r="EX89" s="169"/>
      <c r="EY89" s="169"/>
      <c r="EZ89" s="169"/>
      <c r="FA89" s="169"/>
      <c r="FB89" s="169"/>
      <c r="FC89" s="169"/>
      <c r="FD89" s="169"/>
      <c r="FE89" s="169"/>
      <c r="FF89" s="169"/>
      <c r="FG89" s="169"/>
      <c r="FH89" s="169"/>
      <c r="FI89" s="169"/>
      <c r="FJ89" s="169"/>
      <c r="FK89" s="169"/>
      <c r="FL89" s="169"/>
      <c r="FM89" s="169"/>
      <c r="FN89" s="169"/>
      <c r="FO89" s="169"/>
      <c r="FP89" s="169"/>
      <c r="FQ89" s="169"/>
      <c r="FR89" s="169"/>
      <c r="FS89" s="169"/>
      <c r="FT89" s="169"/>
      <c r="FU89" s="169"/>
      <c r="FV89" s="169"/>
      <c r="FW89" s="169"/>
      <c r="FX89" s="169"/>
      <c r="FY89" s="169"/>
      <c r="FZ89" s="169"/>
      <c r="GA89" s="169"/>
      <c r="GB89" s="169"/>
      <c r="GC89" s="169"/>
    </row>
    <row r="90" spans="1:185">
      <c r="A90" s="155" t="s">
        <v>85</v>
      </c>
      <c r="B90" s="156"/>
      <c r="C90" s="157">
        <v>0.19600000000000001</v>
      </c>
      <c r="D90" s="166">
        <v>0</v>
      </c>
      <c r="E90" s="280"/>
      <c r="F90" s="280"/>
      <c r="G90" s="266">
        <v>0</v>
      </c>
      <c r="H90" s="267">
        <v>0</v>
      </c>
      <c r="I90" s="266">
        <v>0.9</v>
      </c>
      <c r="J90" s="267">
        <v>6</v>
      </c>
      <c r="K90" s="266">
        <v>0.1</v>
      </c>
      <c r="L90" s="267">
        <v>18</v>
      </c>
      <c r="O90" s="268">
        <f t="shared" si="105"/>
        <v>22803</v>
      </c>
      <c r="P90" s="269">
        <f t="shared" si="106"/>
        <v>0</v>
      </c>
      <c r="Q90" s="223">
        <f t="shared" si="107"/>
        <v>22803</v>
      </c>
      <c r="R90" s="138">
        <f t="shared" si="108"/>
        <v>0</v>
      </c>
      <c r="S90" s="270">
        <f t="shared" si="109"/>
        <v>7</v>
      </c>
      <c r="T90" s="223">
        <f t="shared" si="110"/>
        <v>22821</v>
      </c>
      <c r="U90" s="271">
        <f t="shared" si="111"/>
        <v>0</v>
      </c>
      <c r="V90" s="268">
        <f t="shared" si="112"/>
        <v>22803</v>
      </c>
      <c r="W90" s="269">
        <f t="shared" si="113"/>
        <v>0</v>
      </c>
      <c r="X90" s="223">
        <f t="shared" si="114"/>
        <v>22803</v>
      </c>
      <c r="Y90" s="138">
        <f t="shared" si="115"/>
        <v>0</v>
      </c>
      <c r="Z90" s="270">
        <f t="shared" si="116"/>
        <v>7</v>
      </c>
      <c r="AA90" s="223">
        <f t="shared" si="117"/>
        <v>22821</v>
      </c>
      <c r="AB90" s="271">
        <f t="shared" si="118"/>
        <v>0</v>
      </c>
      <c r="AC90" s="268">
        <f t="shared" si="119"/>
        <v>22803</v>
      </c>
      <c r="AD90" s="269">
        <f t="shared" si="120"/>
        <v>0</v>
      </c>
      <c r="AE90" s="223">
        <f t="shared" si="121"/>
        <v>22803</v>
      </c>
      <c r="AF90" s="138">
        <f t="shared" si="122"/>
        <v>0</v>
      </c>
      <c r="AG90" s="270">
        <f t="shared" si="123"/>
        <v>7</v>
      </c>
      <c r="AH90" s="223">
        <f t="shared" si="124"/>
        <v>22821</v>
      </c>
      <c r="AI90" s="271">
        <f t="shared" si="125"/>
        <v>0</v>
      </c>
      <c r="AJ90" s="268">
        <f t="shared" si="126"/>
        <v>22803</v>
      </c>
      <c r="AK90" s="269">
        <f t="shared" si="127"/>
        <v>0</v>
      </c>
      <c r="AL90" s="223">
        <f t="shared" si="128"/>
        <v>22803</v>
      </c>
      <c r="AM90" s="138">
        <f t="shared" si="129"/>
        <v>0</v>
      </c>
      <c r="AN90" s="270">
        <f t="shared" si="130"/>
        <v>7</v>
      </c>
      <c r="AO90" s="223">
        <f t="shared" si="131"/>
        <v>22821</v>
      </c>
      <c r="AP90" s="271">
        <f t="shared" si="132"/>
        <v>0</v>
      </c>
      <c r="AQ90" s="268">
        <f t="shared" si="133"/>
        <v>22803</v>
      </c>
      <c r="AR90" s="269">
        <f t="shared" si="134"/>
        <v>0</v>
      </c>
      <c r="AS90" s="223">
        <f t="shared" si="135"/>
        <v>22803</v>
      </c>
      <c r="AT90" s="138">
        <f t="shared" si="136"/>
        <v>0</v>
      </c>
      <c r="AU90" s="270">
        <f t="shared" si="137"/>
        <v>7</v>
      </c>
      <c r="AV90" s="223">
        <f t="shared" si="138"/>
        <v>22821</v>
      </c>
      <c r="AW90" s="271">
        <f t="shared" si="139"/>
        <v>0</v>
      </c>
      <c r="AX90" s="268">
        <f t="shared" si="140"/>
        <v>22803</v>
      </c>
      <c r="AY90" s="269">
        <f t="shared" si="141"/>
        <v>0</v>
      </c>
      <c r="AZ90" s="223">
        <f t="shared" si="142"/>
        <v>22803</v>
      </c>
      <c r="BA90" s="138">
        <f t="shared" si="143"/>
        <v>0</v>
      </c>
      <c r="BB90" s="270">
        <f t="shared" si="144"/>
        <v>7</v>
      </c>
      <c r="BC90" s="223">
        <f t="shared" si="145"/>
        <v>22821</v>
      </c>
      <c r="BD90" s="271">
        <f t="shared" si="146"/>
        <v>0</v>
      </c>
      <c r="BE90" s="138"/>
      <c r="BF90" s="166">
        <f t="shared" si="147"/>
        <v>0</v>
      </c>
      <c r="BG90" s="166">
        <f t="shared" si="150"/>
        <v>0</v>
      </c>
      <c r="BH90" s="167">
        <f t="shared" si="148"/>
        <v>0</v>
      </c>
      <c r="BM90" s="168" t="e">
        <f t="shared" si="149"/>
        <v>#VALUE!</v>
      </c>
      <c r="BN90" s="169" t="e">
        <f t="shared" si="149"/>
        <v>#VALUE!</v>
      </c>
      <c r="BO90" s="169"/>
      <c r="BP90" s="169"/>
      <c r="BQ90" s="169"/>
      <c r="BR90" s="169"/>
      <c r="BS90" s="169"/>
      <c r="BT90" s="169"/>
      <c r="BU90" s="169"/>
      <c r="BV90" s="169"/>
      <c r="BW90" s="169"/>
      <c r="BX90" s="169"/>
      <c r="BY90" s="169"/>
      <c r="BZ90" s="169"/>
      <c r="CA90" s="169"/>
      <c r="CB90" s="169"/>
      <c r="CC90" s="169"/>
      <c r="CD90" s="169"/>
      <c r="CE90" s="169"/>
      <c r="CF90" s="169"/>
      <c r="CG90" s="169"/>
      <c r="CH90" s="169"/>
      <c r="CI90" s="169"/>
      <c r="CJ90" s="169"/>
      <c r="CK90" s="169"/>
      <c r="CL90" s="169"/>
      <c r="CM90" s="169"/>
      <c r="CN90" s="169"/>
      <c r="CO90" s="169"/>
      <c r="CP90" s="169"/>
      <c r="CQ90" s="169"/>
      <c r="CR90" s="169"/>
      <c r="CS90" s="169"/>
      <c r="CT90" s="169"/>
      <c r="CU90" s="169"/>
      <c r="CV90" s="169"/>
      <c r="CW90" s="169"/>
      <c r="CX90" s="169"/>
      <c r="CY90" s="169"/>
      <c r="CZ90" s="169"/>
      <c r="DA90" s="169"/>
      <c r="DB90" s="169"/>
      <c r="DC90" s="169"/>
      <c r="DD90" s="169"/>
      <c r="DE90" s="169"/>
      <c r="DF90" s="169"/>
      <c r="DG90" s="169"/>
      <c r="DH90" s="169"/>
      <c r="DI90" s="169"/>
      <c r="DJ90" s="169"/>
      <c r="DK90" s="169"/>
      <c r="DL90" s="169"/>
      <c r="DM90" s="169"/>
      <c r="DN90" s="169"/>
      <c r="DO90" s="169"/>
      <c r="DP90" s="169"/>
      <c r="DQ90" s="169"/>
      <c r="DR90" s="169"/>
      <c r="DS90" s="169"/>
      <c r="DT90" s="169"/>
      <c r="DU90" s="169"/>
      <c r="DV90" s="169"/>
      <c r="DW90" s="169"/>
      <c r="DX90" s="169"/>
      <c r="DY90" s="169"/>
      <c r="DZ90" s="169"/>
      <c r="EA90" s="169"/>
      <c r="EB90" s="169"/>
      <c r="EC90" s="169"/>
      <c r="ED90" s="169"/>
      <c r="EE90" s="169"/>
      <c r="EF90" s="169"/>
      <c r="EG90" s="169"/>
      <c r="EH90" s="169"/>
      <c r="EI90" s="169"/>
      <c r="EJ90" s="169"/>
      <c r="EK90" s="169"/>
      <c r="EL90" s="169"/>
      <c r="EM90" s="169"/>
      <c r="EN90" s="169"/>
      <c r="EO90" s="169"/>
      <c r="EP90" s="169"/>
      <c r="EQ90" s="169"/>
      <c r="ER90" s="169"/>
      <c r="ES90" s="169"/>
      <c r="ET90" s="169"/>
      <c r="EU90" s="169"/>
      <c r="EV90" s="169"/>
      <c r="EW90" s="169"/>
      <c r="EX90" s="169"/>
      <c r="EY90" s="169"/>
      <c r="EZ90" s="169"/>
      <c r="FA90" s="169"/>
      <c r="FB90" s="169"/>
      <c r="FC90" s="169"/>
      <c r="FD90" s="169"/>
      <c r="FE90" s="169"/>
      <c r="FF90" s="169"/>
      <c r="FG90" s="169"/>
      <c r="FH90" s="169"/>
      <c r="FI90" s="169"/>
      <c r="FJ90" s="169"/>
      <c r="FK90" s="169"/>
      <c r="FL90" s="169"/>
      <c r="FM90" s="169"/>
      <c r="FN90" s="169"/>
      <c r="FO90" s="169"/>
      <c r="FP90" s="169"/>
      <c r="FQ90" s="169"/>
      <c r="FR90" s="169"/>
      <c r="FS90" s="169"/>
      <c r="FT90" s="169"/>
      <c r="FU90" s="169"/>
      <c r="FV90" s="169"/>
      <c r="FW90" s="169"/>
      <c r="FX90" s="169"/>
      <c r="FY90" s="169"/>
      <c r="FZ90" s="169"/>
      <c r="GA90" s="169"/>
      <c r="GB90" s="169"/>
      <c r="GC90" s="169"/>
    </row>
    <row r="91" spans="1:185">
      <c r="A91" s="155" t="s">
        <v>86</v>
      </c>
      <c r="B91" s="156"/>
      <c r="C91" s="157">
        <v>0.19600000000000001</v>
      </c>
      <c r="D91" s="166">
        <v>0</v>
      </c>
      <c r="E91" s="280"/>
      <c r="F91" s="280"/>
      <c r="G91" s="266">
        <v>0.7</v>
      </c>
      <c r="H91" s="267">
        <v>0</v>
      </c>
      <c r="I91" s="266">
        <v>0.3</v>
      </c>
      <c r="J91" s="267">
        <v>6</v>
      </c>
      <c r="K91" s="266">
        <v>0</v>
      </c>
      <c r="L91" s="267">
        <v>0</v>
      </c>
      <c r="O91" s="268">
        <f t="shared" si="105"/>
        <v>22803</v>
      </c>
      <c r="P91" s="269">
        <f t="shared" si="106"/>
        <v>0</v>
      </c>
      <c r="Q91" s="223">
        <f t="shared" si="107"/>
        <v>22803</v>
      </c>
      <c r="R91" s="138">
        <f t="shared" si="108"/>
        <v>0</v>
      </c>
      <c r="S91" s="270">
        <f t="shared" si="109"/>
        <v>7</v>
      </c>
      <c r="T91" s="223">
        <f t="shared" si="110"/>
        <v>22803</v>
      </c>
      <c r="U91" s="271">
        <f t="shared" si="111"/>
        <v>0</v>
      </c>
      <c r="V91" s="268">
        <f t="shared" si="112"/>
        <v>22803</v>
      </c>
      <c r="W91" s="269">
        <f t="shared" si="113"/>
        <v>0</v>
      </c>
      <c r="X91" s="223">
        <f t="shared" si="114"/>
        <v>22803</v>
      </c>
      <c r="Y91" s="138">
        <f t="shared" si="115"/>
        <v>0</v>
      </c>
      <c r="Z91" s="270">
        <f t="shared" si="116"/>
        <v>7</v>
      </c>
      <c r="AA91" s="223">
        <f t="shared" si="117"/>
        <v>22803</v>
      </c>
      <c r="AB91" s="271">
        <f t="shared" si="118"/>
        <v>0</v>
      </c>
      <c r="AC91" s="268">
        <f t="shared" si="119"/>
        <v>22803</v>
      </c>
      <c r="AD91" s="269">
        <f t="shared" si="120"/>
        <v>0</v>
      </c>
      <c r="AE91" s="223">
        <f t="shared" si="121"/>
        <v>22803</v>
      </c>
      <c r="AF91" s="138">
        <f t="shared" si="122"/>
        <v>0</v>
      </c>
      <c r="AG91" s="270">
        <f t="shared" si="123"/>
        <v>7</v>
      </c>
      <c r="AH91" s="223">
        <f t="shared" si="124"/>
        <v>22803</v>
      </c>
      <c r="AI91" s="271">
        <f t="shared" si="125"/>
        <v>0</v>
      </c>
      <c r="AJ91" s="268">
        <f t="shared" si="126"/>
        <v>22803</v>
      </c>
      <c r="AK91" s="269">
        <f t="shared" si="127"/>
        <v>0</v>
      </c>
      <c r="AL91" s="223">
        <f t="shared" si="128"/>
        <v>22803</v>
      </c>
      <c r="AM91" s="138">
        <f t="shared" si="129"/>
        <v>0</v>
      </c>
      <c r="AN91" s="270">
        <f t="shared" si="130"/>
        <v>7</v>
      </c>
      <c r="AO91" s="223">
        <f t="shared" si="131"/>
        <v>22803</v>
      </c>
      <c r="AP91" s="271">
        <f t="shared" si="132"/>
        <v>0</v>
      </c>
      <c r="AQ91" s="268">
        <f t="shared" si="133"/>
        <v>22803</v>
      </c>
      <c r="AR91" s="269">
        <f t="shared" si="134"/>
        <v>0</v>
      </c>
      <c r="AS91" s="223">
        <f t="shared" si="135"/>
        <v>22803</v>
      </c>
      <c r="AT91" s="138">
        <f t="shared" si="136"/>
        <v>0</v>
      </c>
      <c r="AU91" s="270">
        <f t="shared" si="137"/>
        <v>7</v>
      </c>
      <c r="AV91" s="223">
        <f t="shared" si="138"/>
        <v>22803</v>
      </c>
      <c r="AW91" s="271">
        <f t="shared" si="139"/>
        <v>0</v>
      </c>
      <c r="AX91" s="268">
        <f t="shared" si="140"/>
        <v>22803</v>
      </c>
      <c r="AY91" s="269">
        <f t="shared" si="141"/>
        <v>0</v>
      </c>
      <c r="AZ91" s="223">
        <f t="shared" si="142"/>
        <v>22803</v>
      </c>
      <c r="BA91" s="138">
        <f t="shared" si="143"/>
        <v>0</v>
      </c>
      <c r="BB91" s="270">
        <f t="shared" si="144"/>
        <v>7</v>
      </c>
      <c r="BC91" s="223">
        <f t="shared" si="145"/>
        <v>22803</v>
      </c>
      <c r="BD91" s="271">
        <f t="shared" si="146"/>
        <v>0</v>
      </c>
      <c r="BE91" s="138"/>
      <c r="BF91" s="166">
        <f t="shared" si="147"/>
        <v>0</v>
      </c>
      <c r="BG91" s="166">
        <f t="shared" si="150"/>
        <v>0</v>
      </c>
      <c r="BH91" s="167">
        <f t="shared" si="148"/>
        <v>0</v>
      </c>
      <c r="BM91" s="168" t="e">
        <f t="shared" si="149"/>
        <v>#VALUE!</v>
      </c>
      <c r="BN91" s="169" t="e">
        <f t="shared" si="149"/>
        <v>#VALUE!</v>
      </c>
      <c r="BO91" s="169"/>
      <c r="BP91" s="169"/>
      <c r="BQ91" s="169"/>
      <c r="BR91" s="169"/>
      <c r="BS91" s="169"/>
      <c r="BT91" s="169"/>
      <c r="BU91" s="169"/>
      <c r="BV91" s="169"/>
      <c r="BW91" s="169"/>
      <c r="BX91" s="169"/>
      <c r="BY91" s="169"/>
      <c r="BZ91" s="169"/>
      <c r="CA91" s="169"/>
      <c r="CB91" s="169"/>
      <c r="CC91" s="169"/>
      <c r="CD91" s="169"/>
      <c r="CE91" s="169"/>
      <c r="CF91" s="169"/>
      <c r="CG91" s="169"/>
      <c r="CH91" s="169"/>
      <c r="CI91" s="169"/>
      <c r="CJ91" s="169"/>
      <c r="CK91" s="169"/>
      <c r="CL91" s="169"/>
      <c r="CM91" s="169"/>
      <c r="CN91" s="169"/>
      <c r="CO91" s="169"/>
      <c r="CP91" s="169"/>
      <c r="CQ91" s="169"/>
      <c r="CR91" s="169"/>
      <c r="CS91" s="169"/>
      <c r="CT91" s="169"/>
      <c r="CU91" s="169"/>
      <c r="CV91" s="169"/>
      <c r="CW91" s="169"/>
      <c r="CX91" s="169"/>
      <c r="CY91" s="169"/>
      <c r="CZ91" s="169"/>
      <c r="DA91" s="169"/>
      <c r="DB91" s="169"/>
      <c r="DC91" s="169"/>
      <c r="DD91" s="169"/>
      <c r="DE91" s="169"/>
      <c r="DF91" s="169"/>
      <c r="DG91" s="169"/>
      <c r="DH91" s="169"/>
      <c r="DI91" s="169"/>
      <c r="DJ91" s="169"/>
      <c r="DK91" s="169"/>
      <c r="DL91" s="169"/>
      <c r="DM91" s="169"/>
      <c r="DN91" s="169"/>
      <c r="DO91" s="169"/>
      <c r="DP91" s="169"/>
      <c r="DQ91" s="169"/>
      <c r="DR91" s="169"/>
      <c r="DS91" s="169"/>
      <c r="DT91" s="169"/>
      <c r="DU91" s="169"/>
      <c r="DV91" s="169"/>
      <c r="DW91" s="169"/>
      <c r="DX91" s="169"/>
      <c r="DY91" s="169"/>
      <c r="DZ91" s="169"/>
      <c r="EA91" s="169"/>
      <c r="EB91" s="169"/>
      <c r="EC91" s="169"/>
      <c r="ED91" s="169"/>
      <c r="EE91" s="169"/>
      <c r="EF91" s="169"/>
      <c r="EG91" s="169"/>
      <c r="EH91" s="169"/>
      <c r="EI91" s="169"/>
      <c r="EJ91" s="169"/>
      <c r="EK91" s="169"/>
      <c r="EL91" s="169"/>
      <c r="EM91" s="169"/>
      <c r="EN91" s="169"/>
      <c r="EO91" s="169"/>
      <c r="EP91" s="169"/>
      <c r="EQ91" s="169"/>
      <c r="ER91" s="169"/>
      <c r="ES91" s="169"/>
      <c r="ET91" s="169"/>
      <c r="EU91" s="169"/>
      <c r="EV91" s="169"/>
      <c r="EW91" s="169"/>
      <c r="EX91" s="169"/>
      <c r="EY91" s="169"/>
      <c r="EZ91" s="169"/>
      <c r="FA91" s="169"/>
      <c r="FB91" s="169"/>
      <c r="FC91" s="169"/>
      <c r="FD91" s="169"/>
      <c r="FE91" s="169"/>
      <c r="FF91" s="169"/>
      <c r="FG91" s="169"/>
      <c r="FH91" s="169"/>
      <c r="FI91" s="169"/>
      <c r="FJ91" s="169"/>
      <c r="FK91" s="169"/>
      <c r="FL91" s="169"/>
      <c r="FM91" s="169"/>
      <c r="FN91" s="169"/>
      <c r="FO91" s="169"/>
      <c r="FP91" s="169"/>
      <c r="FQ91" s="169"/>
      <c r="FR91" s="169"/>
      <c r="FS91" s="169"/>
      <c r="FT91" s="169"/>
      <c r="FU91" s="169"/>
      <c r="FV91" s="169"/>
      <c r="FW91" s="169"/>
      <c r="FX91" s="169"/>
      <c r="FY91" s="169"/>
      <c r="FZ91" s="169"/>
      <c r="GA91" s="169"/>
      <c r="GB91" s="169"/>
      <c r="GC91" s="169"/>
    </row>
    <row r="92" spans="1:185">
      <c r="A92" s="155" t="s">
        <v>87</v>
      </c>
      <c r="B92" s="156"/>
      <c r="C92" s="157">
        <v>0.19600000000000001</v>
      </c>
      <c r="D92" s="166">
        <v>0</v>
      </c>
      <c r="G92" s="266">
        <v>0</v>
      </c>
      <c r="H92" s="267">
        <v>0</v>
      </c>
      <c r="I92" s="266">
        <v>1</v>
      </c>
      <c r="J92" s="267">
        <v>0</v>
      </c>
      <c r="K92" s="266">
        <v>0</v>
      </c>
      <c r="L92" s="267">
        <v>0</v>
      </c>
      <c r="O92" s="268">
        <f t="shared" si="105"/>
        <v>22803</v>
      </c>
      <c r="P92" s="269">
        <f t="shared" si="106"/>
        <v>0</v>
      </c>
      <c r="Q92" s="223">
        <f t="shared" si="107"/>
        <v>22803</v>
      </c>
      <c r="R92" s="138">
        <f>($BG92*T1_CAF_POURC*$I92)/S92</f>
        <v>0</v>
      </c>
      <c r="S92" s="270">
        <f t="shared" si="109"/>
        <v>1</v>
      </c>
      <c r="T92" s="223">
        <f t="shared" si="110"/>
        <v>22803</v>
      </c>
      <c r="U92" s="271">
        <f t="shared" si="111"/>
        <v>0</v>
      </c>
      <c r="V92" s="268">
        <f t="shared" si="112"/>
        <v>22803</v>
      </c>
      <c r="W92" s="269">
        <f t="shared" si="113"/>
        <v>0</v>
      </c>
      <c r="X92" s="223">
        <f t="shared" si="114"/>
        <v>22803</v>
      </c>
      <c r="Y92" s="138">
        <f>($BG92*T2_CAF_POURC*$I92)/Z92</f>
        <v>0</v>
      </c>
      <c r="Z92" s="270">
        <f t="shared" si="116"/>
        <v>1</v>
      </c>
      <c r="AA92" s="223">
        <f t="shared" si="117"/>
        <v>22803</v>
      </c>
      <c r="AB92" s="271">
        <f t="shared" si="118"/>
        <v>0</v>
      </c>
      <c r="AC92" s="268">
        <f t="shared" si="119"/>
        <v>22803</v>
      </c>
      <c r="AD92" s="269">
        <f t="shared" si="120"/>
        <v>0</v>
      </c>
      <c r="AE92" s="223">
        <f t="shared" si="121"/>
        <v>22803</v>
      </c>
      <c r="AF92" s="138">
        <f>($BG92*T3_CAF_POURC*$I92)/AG92</f>
        <v>0</v>
      </c>
      <c r="AG92" s="270">
        <f t="shared" si="123"/>
        <v>1</v>
      </c>
      <c r="AH92" s="223">
        <f t="shared" si="124"/>
        <v>22803</v>
      </c>
      <c r="AI92" s="271">
        <f t="shared" si="125"/>
        <v>0</v>
      </c>
      <c r="AJ92" s="268">
        <f t="shared" si="126"/>
        <v>22803</v>
      </c>
      <c r="AK92" s="269">
        <f t="shared" si="127"/>
        <v>0</v>
      </c>
      <c r="AL92" s="223">
        <f t="shared" si="128"/>
        <v>22803</v>
      </c>
      <c r="AM92" s="138">
        <f>($BG92*T4_CAF_POURC*$I92)/AN92</f>
        <v>0</v>
      </c>
      <c r="AN92" s="270">
        <f t="shared" si="130"/>
        <v>1</v>
      </c>
      <c r="AO92" s="223">
        <f t="shared" si="131"/>
        <v>22803</v>
      </c>
      <c r="AP92" s="271">
        <f t="shared" si="132"/>
        <v>0</v>
      </c>
      <c r="AQ92" s="268">
        <f t="shared" si="133"/>
        <v>22803</v>
      </c>
      <c r="AR92" s="269">
        <f t="shared" si="134"/>
        <v>0</v>
      </c>
      <c r="AS92" s="223">
        <f t="shared" si="135"/>
        <v>22803</v>
      </c>
      <c r="AT92" s="138">
        <f>($BG92*T5_CAF_POURC*$I92)/AU92</f>
        <v>0</v>
      </c>
      <c r="AU92" s="270">
        <f t="shared" si="137"/>
        <v>1</v>
      </c>
      <c r="AV92" s="223">
        <f t="shared" si="138"/>
        <v>22803</v>
      </c>
      <c r="AW92" s="271">
        <f t="shared" si="139"/>
        <v>0</v>
      </c>
      <c r="AX92" s="268">
        <f t="shared" si="140"/>
        <v>22803</v>
      </c>
      <c r="AY92" s="269">
        <f t="shared" si="141"/>
        <v>0</v>
      </c>
      <c r="AZ92" s="223">
        <f t="shared" si="142"/>
        <v>22803</v>
      </c>
      <c r="BA92" s="138">
        <f>($BG92*T6_CAF_POURC*$I92)/BB92</f>
        <v>0</v>
      </c>
      <c r="BB92" s="270">
        <f t="shared" si="144"/>
        <v>1</v>
      </c>
      <c r="BC92" s="223">
        <f t="shared" si="145"/>
        <v>22803</v>
      </c>
      <c r="BD92" s="271">
        <f t="shared" si="146"/>
        <v>0</v>
      </c>
      <c r="BE92" s="138"/>
      <c r="BF92" s="166">
        <f>D92</f>
        <v>0</v>
      </c>
      <c r="BG92" s="166">
        <f t="shared" si="150"/>
        <v>0</v>
      </c>
      <c r="BH92" s="167">
        <f>BG92-BF92</f>
        <v>0</v>
      </c>
      <c r="BM92" s="168" t="e">
        <f t="shared" si="149"/>
        <v>#VALUE!</v>
      </c>
      <c r="BN92" s="169" t="e">
        <f t="shared" si="149"/>
        <v>#VALUE!</v>
      </c>
      <c r="BO92" s="169"/>
      <c r="BP92" s="169"/>
      <c r="BQ92" s="169"/>
      <c r="BR92" s="169"/>
      <c r="BS92" s="169"/>
      <c r="BT92" s="169"/>
      <c r="BU92" s="169"/>
      <c r="BV92" s="169"/>
      <c r="BW92" s="169"/>
      <c r="BX92" s="169"/>
      <c r="BY92" s="169"/>
      <c r="BZ92" s="169"/>
      <c r="CA92" s="169"/>
      <c r="CB92" s="169"/>
      <c r="CC92" s="169"/>
      <c r="CD92" s="169"/>
      <c r="CE92" s="169"/>
      <c r="CF92" s="169"/>
      <c r="CG92" s="169"/>
      <c r="CH92" s="169"/>
      <c r="CI92" s="169"/>
      <c r="CJ92" s="169"/>
      <c r="CK92" s="169"/>
      <c r="CL92" s="169"/>
      <c r="CM92" s="169"/>
      <c r="CN92" s="169"/>
      <c r="CO92" s="169"/>
      <c r="CP92" s="169"/>
      <c r="CQ92" s="169"/>
      <c r="CR92" s="169"/>
      <c r="CS92" s="169"/>
      <c r="CT92" s="169"/>
      <c r="CU92" s="169"/>
      <c r="CV92" s="169"/>
      <c r="CW92" s="169"/>
      <c r="CX92" s="169"/>
      <c r="CY92" s="169"/>
      <c r="CZ92" s="169"/>
      <c r="DA92" s="169"/>
      <c r="DB92" s="169"/>
      <c r="DC92" s="169"/>
      <c r="DD92" s="169"/>
      <c r="DE92" s="169"/>
      <c r="DF92" s="169"/>
      <c r="DG92" s="169"/>
      <c r="DH92" s="169"/>
      <c r="DI92" s="169"/>
      <c r="DJ92" s="169"/>
      <c r="DK92" s="169"/>
      <c r="DL92" s="169"/>
      <c r="DM92" s="169"/>
      <c r="DN92" s="169"/>
      <c r="DO92" s="169"/>
      <c r="DP92" s="169"/>
      <c r="DQ92" s="169"/>
      <c r="DR92" s="169"/>
      <c r="DS92" s="169"/>
      <c r="DT92" s="169"/>
      <c r="DU92" s="169"/>
      <c r="DV92" s="169"/>
      <c r="DW92" s="169"/>
      <c r="DX92" s="169"/>
      <c r="DY92" s="169"/>
      <c r="DZ92" s="169"/>
      <c r="EA92" s="169"/>
      <c r="EB92" s="169"/>
      <c r="EC92" s="169"/>
      <c r="ED92" s="169"/>
      <c r="EE92" s="169"/>
      <c r="EF92" s="169"/>
      <c r="EG92" s="169"/>
      <c r="EH92" s="169"/>
      <c r="EI92" s="169"/>
      <c r="EJ92" s="169"/>
      <c r="EK92" s="169"/>
      <c r="EL92" s="169"/>
      <c r="EM92" s="169"/>
      <c r="EN92" s="169"/>
      <c r="EO92" s="169"/>
      <c r="EP92" s="169"/>
      <c r="EQ92" s="169"/>
      <c r="ER92" s="169"/>
      <c r="ES92" s="169"/>
      <c r="ET92" s="169"/>
      <c r="EU92" s="169"/>
      <c r="EV92" s="169"/>
      <c r="EW92" s="169"/>
      <c r="EX92" s="169"/>
      <c r="EY92" s="169"/>
      <c r="EZ92" s="169"/>
      <c r="FA92" s="169"/>
      <c r="FB92" s="169"/>
      <c r="FC92" s="169"/>
      <c r="FD92" s="169"/>
      <c r="FE92" s="169"/>
      <c r="FF92" s="169"/>
      <c r="FG92" s="169"/>
      <c r="FH92" s="169"/>
      <c r="FI92" s="169"/>
      <c r="FJ92" s="169"/>
      <c r="FK92" s="169"/>
      <c r="FL92" s="169"/>
      <c r="FM92" s="169"/>
      <c r="FN92" s="169"/>
      <c r="FO92" s="169"/>
      <c r="FP92" s="169"/>
      <c r="FQ92" s="169"/>
      <c r="FR92" s="169"/>
      <c r="FS92" s="169"/>
      <c r="FT92" s="169"/>
      <c r="FU92" s="169"/>
      <c r="FV92" s="169"/>
      <c r="FW92" s="169"/>
      <c r="FX92" s="169"/>
      <c r="FY92" s="169"/>
      <c r="FZ92" s="169"/>
      <c r="GA92" s="169"/>
      <c r="GB92" s="169"/>
      <c r="GC92" s="169"/>
    </row>
    <row r="93" spans="1:185">
      <c r="A93" s="155" t="s">
        <v>439</v>
      </c>
      <c r="B93" s="156"/>
      <c r="C93" s="157">
        <v>0.19600000000000001</v>
      </c>
      <c r="D93" s="166">
        <v>0</v>
      </c>
      <c r="G93" s="266">
        <v>0</v>
      </c>
      <c r="H93" s="267">
        <v>0</v>
      </c>
      <c r="I93" s="266">
        <v>1</v>
      </c>
      <c r="J93" s="267">
        <v>0</v>
      </c>
      <c r="K93" s="266">
        <v>0</v>
      </c>
      <c r="L93" s="267">
        <v>0</v>
      </c>
      <c r="O93" s="268">
        <f t="shared" si="105"/>
        <v>22803</v>
      </c>
      <c r="P93" s="269">
        <f t="shared" si="106"/>
        <v>0</v>
      </c>
      <c r="Q93" s="223">
        <f t="shared" si="107"/>
        <v>22803</v>
      </c>
      <c r="R93" s="138">
        <f t="shared" si="108"/>
        <v>0</v>
      </c>
      <c r="S93" s="270">
        <f t="shared" si="109"/>
        <v>1</v>
      </c>
      <c r="T93" s="223">
        <f t="shared" si="110"/>
        <v>22803</v>
      </c>
      <c r="U93" s="271">
        <f t="shared" si="111"/>
        <v>0</v>
      </c>
      <c r="V93" s="268">
        <f t="shared" si="112"/>
        <v>22803</v>
      </c>
      <c r="W93" s="269">
        <f t="shared" si="113"/>
        <v>0</v>
      </c>
      <c r="X93" s="223">
        <f t="shared" si="114"/>
        <v>22803</v>
      </c>
      <c r="Y93" s="138">
        <f t="shared" si="115"/>
        <v>0</v>
      </c>
      <c r="Z93" s="270">
        <f t="shared" si="116"/>
        <v>1</v>
      </c>
      <c r="AA93" s="223">
        <f t="shared" si="117"/>
        <v>22803</v>
      </c>
      <c r="AB93" s="271">
        <f t="shared" si="118"/>
        <v>0</v>
      </c>
      <c r="AC93" s="268">
        <f t="shared" si="119"/>
        <v>22803</v>
      </c>
      <c r="AD93" s="269">
        <f t="shared" si="120"/>
        <v>0</v>
      </c>
      <c r="AE93" s="223">
        <f t="shared" si="121"/>
        <v>22803</v>
      </c>
      <c r="AF93" s="138">
        <f t="shared" si="122"/>
        <v>0</v>
      </c>
      <c r="AG93" s="270">
        <f t="shared" si="123"/>
        <v>1</v>
      </c>
      <c r="AH93" s="223">
        <f t="shared" si="124"/>
        <v>22803</v>
      </c>
      <c r="AI93" s="271">
        <f t="shared" si="125"/>
        <v>0</v>
      </c>
      <c r="AJ93" s="268">
        <f t="shared" si="126"/>
        <v>22803</v>
      </c>
      <c r="AK93" s="269">
        <f t="shared" si="127"/>
        <v>0</v>
      </c>
      <c r="AL93" s="223">
        <f t="shared" si="128"/>
        <v>22803</v>
      </c>
      <c r="AM93" s="138">
        <f t="shared" si="129"/>
        <v>0</v>
      </c>
      <c r="AN93" s="270">
        <f t="shared" si="130"/>
        <v>1</v>
      </c>
      <c r="AO93" s="223">
        <f t="shared" si="131"/>
        <v>22803</v>
      </c>
      <c r="AP93" s="271">
        <f t="shared" si="132"/>
        <v>0</v>
      </c>
      <c r="AQ93" s="268">
        <f t="shared" si="133"/>
        <v>22803</v>
      </c>
      <c r="AR93" s="269">
        <f t="shared" si="134"/>
        <v>0</v>
      </c>
      <c r="AS93" s="223">
        <f t="shared" si="135"/>
        <v>22803</v>
      </c>
      <c r="AT93" s="138">
        <f t="shared" si="136"/>
        <v>0</v>
      </c>
      <c r="AU93" s="270">
        <f t="shared" si="137"/>
        <v>1</v>
      </c>
      <c r="AV93" s="223">
        <f t="shared" si="138"/>
        <v>22803</v>
      </c>
      <c r="AW93" s="271">
        <f t="shared" si="139"/>
        <v>0</v>
      </c>
      <c r="AX93" s="268">
        <f t="shared" si="140"/>
        <v>22803</v>
      </c>
      <c r="AY93" s="269">
        <f t="shared" si="141"/>
        <v>0</v>
      </c>
      <c r="AZ93" s="223">
        <f t="shared" si="142"/>
        <v>22803</v>
      </c>
      <c r="BA93" s="138">
        <f t="shared" si="143"/>
        <v>0</v>
      </c>
      <c r="BB93" s="270">
        <f t="shared" si="144"/>
        <v>1</v>
      </c>
      <c r="BC93" s="223">
        <f t="shared" si="145"/>
        <v>22803</v>
      </c>
      <c r="BD93" s="271">
        <f t="shared" si="146"/>
        <v>0</v>
      </c>
      <c r="BE93" s="138"/>
      <c r="BF93" s="166">
        <f t="shared" si="147"/>
        <v>0</v>
      </c>
      <c r="BG93" s="166">
        <f t="shared" si="150"/>
        <v>0</v>
      </c>
      <c r="BH93" s="167">
        <f t="shared" si="148"/>
        <v>0</v>
      </c>
      <c r="BM93" s="168" t="e">
        <f t="shared" si="149"/>
        <v>#VALUE!</v>
      </c>
      <c r="BN93" s="169" t="e">
        <f t="shared" si="149"/>
        <v>#VALUE!</v>
      </c>
      <c r="BO93" s="169"/>
      <c r="BP93" s="169"/>
      <c r="BQ93" s="169"/>
      <c r="BR93" s="169"/>
      <c r="BS93" s="169"/>
      <c r="BT93" s="169"/>
      <c r="BU93" s="169"/>
      <c r="BV93" s="169"/>
      <c r="BW93" s="169"/>
      <c r="BX93" s="169"/>
      <c r="BY93" s="169"/>
      <c r="BZ93" s="169"/>
      <c r="CA93" s="169"/>
      <c r="CB93" s="169"/>
      <c r="CC93" s="169"/>
      <c r="CD93" s="169"/>
      <c r="CE93" s="169"/>
      <c r="CF93" s="169"/>
      <c r="CG93" s="169"/>
      <c r="CH93" s="169"/>
      <c r="CI93" s="169"/>
      <c r="CJ93" s="169"/>
      <c r="CK93" s="169"/>
      <c r="CL93" s="169"/>
      <c r="CM93" s="169"/>
      <c r="CN93" s="169"/>
      <c r="CO93" s="169"/>
      <c r="CP93" s="169"/>
      <c r="CQ93" s="169"/>
      <c r="CR93" s="169"/>
      <c r="CS93" s="169"/>
      <c r="CT93" s="169"/>
      <c r="CU93" s="169"/>
      <c r="CV93" s="169"/>
      <c r="CW93" s="169"/>
      <c r="CX93" s="169"/>
      <c r="CY93" s="169"/>
      <c r="CZ93" s="169"/>
      <c r="DA93" s="169"/>
      <c r="DB93" s="169"/>
      <c r="DC93" s="169"/>
      <c r="DD93" s="169"/>
      <c r="DE93" s="169"/>
      <c r="DF93" s="169"/>
      <c r="DG93" s="169"/>
      <c r="DH93" s="169"/>
      <c r="DI93" s="169"/>
      <c r="DJ93" s="169"/>
      <c r="DK93" s="169"/>
      <c r="DL93" s="169"/>
      <c r="DM93" s="169"/>
      <c r="DN93" s="169"/>
      <c r="DO93" s="169"/>
      <c r="DP93" s="169"/>
      <c r="DQ93" s="169"/>
      <c r="DR93" s="169"/>
      <c r="DS93" s="169"/>
      <c r="DT93" s="169"/>
      <c r="DU93" s="169"/>
      <c r="DV93" s="169"/>
      <c r="DW93" s="169"/>
      <c r="DX93" s="169"/>
      <c r="DY93" s="169"/>
      <c r="DZ93" s="169"/>
      <c r="EA93" s="169"/>
      <c r="EB93" s="169"/>
      <c r="EC93" s="169"/>
      <c r="ED93" s="169"/>
      <c r="EE93" s="169"/>
      <c r="EF93" s="169"/>
      <c r="EG93" s="169"/>
      <c r="EH93" s="169"/>
      <c r="EI93" s="169"/>
      <c r="EJ93" s="169"/>
      <c r="EK93" s="169"/>
      <c r="EL93" s="169"/>
      <c r="EM93" s="169"/>
      <c r="EN93" s="169"/>
      <c r="EO93" s="169"/>
      <c r="EP93" s="169"/>
      <c r="EQ93" s="169"/>
      <c r="ER93" s="169"/>
      <c r="ES93" s="169"/>
      <c r="ET93" s="169"/>
      <c r="EU93" s="169"/>
      <c r="EV93" s="169"/>
      <c r="EW93" s="169"/>
      <c r="EX93" s="169"/>
      <c r="EY93" s="169"/>
      <c r="EZ93" s="169"/>
      <c r="FA93" s="169"/>
      <c r="FB93" s="169"/>
      <c r="FC93" s="169"/>
      <c r="FD93" s="169"/>
      <c r="FE93" s="169"/>
      <c r="FF93" s="169"/>
      <c r="FG93" s="169"/>
      <c r="FH93" s="169"/>
      <c r="FI93" s="169"/>
      <c r="FJ93" s="169"/>
      <c r="FK93" s="169"/>
      <c r="FL93" s="169"/>
      <c r="FM93" s="169"/>
      <c r="FN93" s="169"/>
      <c r="FO93" s="169"/>
      <c r="FP93" s="169"/>
      <c r="FQ93" s="169"/>
      <c r="FR93" s="169"/>
      <c r="FS93" s="169"/>
      <c r="FT93" s="169"/>
      <c r="FU93" s="169"/>
      <c r="FV93" s="169"/>
      <c r="FW93" s="169"/>
      <c r="FX93" s="169"/>
      <c r="FY93" s="169"/>
      <c r="FZ93" s="169"/>
      <c r="GA93" s="169"/>
      <c r="GB93" s="169"/>
      <c r="GC93" s="169"/>
    </row>
    <row r="94" spans="1:185" ht="13.8" thickBot="1">
      <c r="A94" s="175" t="s">
        <v>470</v>
      </c>
      <c r="B94" s="176"/>
      <c r="C94" s="157">
        <v>0.19600000000000001</v>
      </c>
      <c r="D94" s="254">
        <v>0</v>
      </c>
      <c r="G94" s="272">
        <v>0</v>
      </c>
      <c r="H94" s="273">
        <v>0</v>
      </c>
      <c r="I94" s="272">
        <v>1</v>
      </c>
      <c r="J94" s="273">
        <v>0</v>
      </c>
      <c r="K94" s="272">
        <v>0</v>
      </c>
      <c r="L94" s="273">
        <v>0</v>
      </c>
      <c r="O94" s="274">
        <f t="shared" si="105"/>
        <v>22803</v>
      </c>
      <c r="P94" s="275">
        <f t="shared" si="106"/>
        <v>0</v>
      </c>
      <c r="Q94" s="276">
        <f t="shared" si="107"/>
        <v>22803</v>
      </c>
      <c r="R94" s="277">
        <f>($BG94*T1_CAF_POURC*$I94)/S94</f>
        <v>0</v>
      </c>
      <c r="S94" s="278">
        <f t="shared" si="109"/>
        <v>1</v>
      </c>
      <c r="T94" s="276">
        <f t="shared" si="110"/>
        <v>22803</v>
      </c>
      <c r="U94" s="279">
        <f t="shared" si="111"/>
        <v>0</v>
      </c>
      <c r="V94" s="274">
        <f t="shared" si="112"/>
        <v>22803</v>
      </c>
      <c r="W94" s="275">
        <f t="shared" si="113"/>
        <v>0</v>
      </c>
      <c r="X94" s="276">
        <f t="shared" si="114"/>
        <v>22803</v>
      </c>
      <c r="Y94" s="277">
        <f>($BG94*T2_CAF_POURC*$I94)/Z94</f>
        <v>0</v>
      </c>
      <c r="Z94" s="278">
        <f t="shared" si="116"/>
        <v>1</v>
      </c>
      <c r="AA94" s="276">
        <f t="shared" si="117"/>
        <v>22803</v>
      </c>
      <c r="AB94" s="279">
        <f t="shared" si="118"/>
        <v>0</v>
      </c>
      <c r="AC94" s="274">
        <f t="shared" si="119"/>
        <v>22803</v>
      </c>
      <c r="AD94" s="275">
        <f t="shared" si="120"/>
        <v>0</v>
      </c>
      <c r="AE94" s="276">
        <f t="shared" si="121"/>
        <v>22803</v>
      </c>
      <c r="AF94" s="277">
        <f>($BG94*T3_CAF_POURC*$I94)/AG94</f>
        <v>0</v>
      </c>
      <c r="AG94" s="278">
        <f t="shared" si="123"/>
        <v>1</v>
      </c>
      <c r="AH94" s="276">
        <f t="shared" si="124"/>
        <v>22803</v>
      </c>
      <c r="AI94" s="279">
        <f t="shared" si="125"/>
        <v>0</v>
      </c>
      <c r="AJ94" s="274">
        <f t="shared" si="126"/>
        <v>22803</v>
      </c>
      <c r="AK94" s="275">
        <f t="shared" si="127"/>
        <v>0</v>
      </c>
      <c r="AL94" s="276">
        <f t="shared" si="128"/>
        <v>22803</v>
      </c>
      <c r="AM94" s="277">
        <f>($BG94*T4_CAF_POURC*$I94)/AN94</f>
        <v>0</v>
      </c>
      <c r="AN94" s="278">
        <f t="shared" si="130"/>
        <v>1</v>
      </c>
      <c r="AO94" s="276">
        <f t="shared" si="131"/>
        <v>22803</v>
      </c>
      <c r="AP94" s="279">
        <f t="shared" si="132"/>
        <v>0</v>
      </c>
      <c r="AQ94" s="274">
        <f t="shared" si="133"/>
        <v>22803</v>
      </c>
      <c r="AR94" s="275">
        <f t="shared" si="134"/>
        <v>0</v>
      </c>
      <c r="AS94" s="276">
        <f t="shared" si="135"/>
        <v>22803</v>
      </c>
      <c r="AT94" s="277">
        <f>($BG94*T5_CAF_POURC*$I94)/AU94</f>
        <v>0</v>
      </c>
      <c r="AU94" s="278">
        <f t="shared" si="137"/>
        <v>1</v>
      </c>
      <c r="AV94" s="276">
        <f t="shared" si="138"/>
        <v>22803</v>
      </c>
      <c r="AW94" s="279">
        <f t="shared" si="139"/>
        <v>0</v>
      </c>
      <c r="AX94" s="274">
        <f t="shared" si="140"/>
        <v>22803</v>
      </c>
      <c r="AY94" s="275">
        <f t="shared" si="141"/>
        <v>0</v>
      </c>
      <c r="AZ94" s="276">
        <f t="shared" si="142"/>
        <v>22803</v>
      </c>
      <c r="BA94" s="277">
        <f>($BG94*T6_CAF_POURC*$I94)/BB94</f>
        <v>0</v>
      </c>
      <c r="BB94" s="278">
        <f t="shared" si="144"/>
        <v>1</v>
      </c>
      <c r="BC94" s="276">
        <f t="shared" si="145"/>
        <v>22803</v>
      </c>
      <c r="BD94" s="279">
        <f t="shared" si="146"/>
        <v>0</v>
      </c>
      <c r="BE94" s="138"/>
      <c r="BF94" s="166">
        <f>D94</f>
        <v>0</v>
      </c>
      <c r="BG94" s="166">
        <f t="shared" si="150"/>
        <v>0</v>
      </c>
      <c r="BH94" s="167">
        <f>BG94-BF94</f>
        <v>0</v>
      </c>
      <c r="BM94" s="168" t="e">
        <f t="shared" si="149"/>
        <v>#VALUE!</v>
      </c>
      <c r="BN94" s="169" t="e">
        <f t="shared" si="149"/>
        <v>#VALUE!</v>
      </c>
      <c r="BO94" s="169"/>
      <c r="BP94" s="169"/>
      <c r="BQ94" s="169"/>
      <c r="BR94" s="169"/>
      <c r="BS94" s="169"/>
      <c r="BT94" s="169"/>
      <c r="BU94" s="169"/>
      <c r="BV94" s="169"/>
      <c r="BW94" s="169"/>
      <c r="BX94" s="169"/>
      <c r="BY94" s="169"/>
      <c r="BZ94" s="169"/>
      <c r="CA94" s="169"/>
      <c r="CB94" s="169"/>
      <c r="CC94" s="169"/>
      <c r="CD94" s="169"/>
      <c r="CE94" s="169"/>
      <c r="CF94" s="169"/>
      <c r="CG94" s="169"/>
      <c r="CH94" s="169"/>
      <c r="CI94" s="169"/>
      <c r="CJ94" s="169"/>
      <c r="CK94" s="169"/>
      <c r="CL94" s="169"/>
      <c r="CM94" s="169"/>
      <c r="CN94" s="169"/>
      <c r="CO94" s="169"/>
      <c r="CP94" s="169"/>
      <c r="CQ94" s="169"/>
      <c r="CR94" s="169"/>
      <c r="CS94" s="169"/>
      <c r="CT94" s="169"/>
      <c r="CU94" s="169"/>
      <c r="CV94" s="169"/>
      <c r="CW94" s="169"/>
      <c r="CX94" s="169"/>
      <c r="CY94" s="169"/>
      <c r="CZ94" s="169"/>
      <c r="DA94" s="169"/>
      <c r="DB94" s="169"/>
      <c r="DC94" s="169"/>
      <c r="DD94" s="169"/>
      <c r="DE94" s="169"/>
      <c r="DF94" s="169"/>
      <c r="DG94" s="169"/>
      <c r="DH94" s="169"/>
      <c r="DI94" s="169"/>
      <c r="DJ94" s="169"/>
      <c r="DK94" s="169"/>
      <c r="DL94" s="169"/>
      <c r="DM94" s="169"/>
      <c r="DN94" s="169"/>
      <c r="DO94" s="169"/>
      <c r="DP94" s="169"/>
      <c r="DQ94" s="169"/>
      <c r="DR94" s="169"/>
      <c r="DS94" s="169"/>
      <c r="DT94" s="169"/>
      <c r="DU94" s="169"/>
      <c r="DV94" s="169"/>
      <c r="DW94" s="169"/>
      <c r="DX94" s="169"/>
      <c r="DY94" s="169"/>
      <c r="DZ94" s="169"/>
      <c r="EA94" s="169"/>
      <c r="EB94" s="169"/>
      <c r="EC94" s="169"/>
      <c r="ED94" s="169"/>
      <c r="EE94" s="169"/>
      <c r="EF94" s="169"/>
      <c r="EG94" s="169"/>
      <c r="EH94" s="169"/>
      <c r="EI94" s="169"/>
      <c r="EJ94" s="169"/>
      <c r="EK94" s="169"/>
      <c r="EL94" s="169"/>
      <c r="EM94" s="169"/>
      <c r="EN94" s="169"/>
      <c r="EO94" s="169"/>
      <c r="EP94" s="169"/>
      <c r="EQ94" s="169"/>
      <c r="ER94" s="169"/>
      <c r="ES94" s="169"/>
      <c r="ET94" s="169"/>
      <c r="EU94" s="169"/>
      <c r="EV94" s="169"/>
      <c r="EW94" s="169"/>
      <c r="EX94" s="169"/>
      <c r="EY94" s="169"/>
      <c r="EZ94" s="169"/>
      <c r="FA94" s="169"/>
      <c r="FB94" s="169"/>
      <c r="FC94" s="169"/>
      <c r="FD94" s="169"/>
      <c r="FE94" s="169"/>
      <c r="FF94" s="169"/>
      <c r="FG94" s="169"/>
      <c r="FH94" s="169"/>
      <c r="FI94" s="169"/>
      <c r="FJ94" s="169"/>
      <c r="FK94" s="169"/>
      <c r="FL94" s="169"/>
      <c r="FM94" s="169"/>
      <c r="FN94" s="169"/>
      <c r="FO94" s="169"/>
      <c r="FP94" s="169"/>
      <c r="FQ94" s="169"/>
      <c r="FR94" s="169"/>
      <c r="FS94" s="169"/>
      <c r="FT94" s="169"/>
      <c r="FU94" s="169"/>
      <c r="FV94" s="169"/>
      <c r="FW94" s="169"/>
      <c r="FX94" s="169"/>
      <c r="FY94" s="169"/>
      <c r="FZ94" s="169"/>
      <c r="GA94" s="169"/>
      <c r="GB94" s="169"/>
      <c r="GC94" s="169"/>
    </row>
    <row r="95" spans="1:185">
      <c r="A95" s="132"/>
      <c r="B95" s="165"/>
      <c r="C95" s="157"/>
      <c r="J95" s="138"/>
      <c r="K95" s="282"/>
      <c r="O95" s="283" t="s">
        <v>88</v>
      </c>
      <c r="P95" s="217" t="s">
        <v>41</v>
      </c>
      <c r="Q95" s="217" t="s">
        <v>51</v>
      </c>
      <c r="R95" s="217" t="s">
        <v>53</v>
      </c>
      <c r="S95" s="217" t="s">
        <v>55</v>
      </c>
      <c r="T95" s="217" t="s">
        <v>57</v>
      </c>
      <c r="U95" s="217" t="s">
        <v>59</v>
      </c>
      <c r="BF95" s="166"/>
      <c r="BG95" s="166"/>
      <c r="BH95" s="167"/>
      <c r="BM95" s="153"/>
      <c r="BN95" s="154"/>
      <c r="BO95" s="154"/>
      <c r="BP95" s="154"/>
      <c r="BQ95" s="154"/>
      <c r="BR95" s="154"/>
      <c r="BS95" s="154"/>
      <c r="BT95" s="154"/>
      <c r="BU95" s="154"/>
      <c r="BV95" s="154"/>
      <c r="BW95" s="154"/>
      <c r="BX95" s="154"/>
      <c r="BY95" s="154"/>
      <c r="BZ95" s="154"/>
      <c r="CA95" s="154"/>
      <c r="CB95" s="154"/>
      <c r="CC95" s="154"/>
      <c r="CD95" s="154"/>
      <c r="CE95" s="154"/>
      <c r="CF95" s="154"/>
      <c r="CG95" s="154"/>
      <c r="CH95" s="154"/>
      <c r="CI95" s="154"/>
      <c r="CJ95" s="154"/>
      <c r="CK95" s="154"/>
      <c r="CL95" s="154"/>
      <c r="CM95" s="154"/>
      <c r="CN95" s="154"/>
      <c r="CO95" s="154"/>
      <c r="CP95" s="154"/>
      <c r="CQ95" s="154"/>
      <c r="CR95" s="154"/>
      <c r="CS95" s="154"/>
      <c r="CT95" s="154"/>
      <c r="CU95" s="154"/>
      <c r="CV95" s="154"/>
      <c r="CW95" s="154"/>
      <c r="CX95" s="154"/>
      <c r="CY95" s="154"/>
      <c r="CZ95" s="154"/>
      <c r="DA95" s="154"/>
      <c r="DB95" s="154"/>
      <c r="DC95" s="154"/>
      <c r="DD95" s="154"/>
      <c r="DE95" s="154"/>
      <c r="DF95" s="154"/>
      <c r="DG95" s="154"/>
      <c r="DH95" s="154"/>
      <c r="DI95" s="154"/>
      <c r="DJ95" s="154"/>
      <c r="DK95" s="154"/>
      <c r="DL95" s="154"/>
      <c r="DM95" s="154"/>
      <c r="DN95" s="154"/>
      <c r="DO95" s="154"/>
      <c r="DP95" s="154"/>
      <c r="DQ95" s="154"/>
      <c r="DR95" s="154"/>
      <c r="DS95" s="154"/>
      <c r="DT95" s="154"/>
      <c r="DU95" s="154"/>
      <c r="DV95" s="154"/>
      <c r="DW95" s="154"/>
      <c r="DX95" s="154"/>
      <c r="DY95" s="154"/>
      <c r="DZ95" s="154"/>
      <c r="EA95" s="154"/>
      <c r="EB95" s="154"/>
      <c r="EC95" s="154"/>
      <c r="ED95" s="154"/>
      <c r="EE95" s="154"/>
      <c r="EF95" s="154"/>
      <c r="EG95" s="154"/>
      <c r="EH95" s="154"/>
      <c r="EI95" s="154"/>
      <c r="EJ95" s="154"/>
      <c r="EK95" s="154"/>
      <c r="EL95" s="154"/>
      <c r="EM95" s="154"/>
      <c r="EN95" s="154"/>
      <c r="EO95" s="154"/>
      <c r="EP95" s="154"/>
      <c r="EQ95" s="154"/>
      <c r="ER95" s="154"/>
      <c r="ES95" s="154"/>
      <c r="ET95" s="154"/>
      <c r="EU95" s="154"/>
      <c r="EV95" s="154"/>
      <c r="EW95" s="154"/>
      <c r="EX95" s="154"/>
      <c r="EY95" s="154"/>
      <c r="EZ95" s="154"/>
      <c r="FA95" s="154"/>
      <c r="FB95" s="154"/>
      <c r="FC95" s="154"/>
      <c r="FD95" s="154"/>
      <c r="FE95" s="154"/>
      <c r="FF95" s="154"/>
      <c r="FG95" s="154"/>
      <c r="FH95" s="154"/>
      <c r="FI95" s="154"/>
      <c r="FJ95" s="154"/>
      <c r="FK95" s="154"/>
      <c r="FL95" s="154"/>
      <c r="FM95" s="154"/>
      <c r="FN95" s="154"/>
      <c r="FO95" s="154"/>
      <c r="FP95" s="154"/>
      <c r="FQ95" s="154"/>
      <c r="FR95" s="154"/>
      <c r="FS95" s="154"/>
      <c r="FT95" s="154"/>
      <c r="FU95" s="154"/>
      <c r="FV95" s="154"/>
      <c r="FW95" s="154"/>
      <c r="FX95" s="154"/>
      <c r="FY95" s="154"/>
      <c r="FZ95" s="154"/>
      <c r="GA95" s="154"/>
      <c r="GB95" s="154"/>
      <c r="GC95" s="154"/>
    </row>
    <row r="96" spans="1:185">
      <c r="A96" s="155" t="s">
        <v>89</v>
      </c>
      <c r="B96" s="156"/>
      <c r="C96" s="157">
        <v>0.19600000000000001</v>
      </c>
      <c r="P96" s="284">
        <f>IF(T1_NBLOTS&lt;&gt;0,(T1_CAF*T1_HC_TAUX/T1_NBLOTS)*(1+$C$96),(T1_CAF*T1_HC_TAUX)*(1+$C$96))</f>
        <v>0</v>
      </c>
      <c r="Q96" s="284">
        <f>IF(T2_NBLOTS&lt;&gt;0,(T2_CAF*T2_HC_TAUX/T2_NBLOTS)*(1+$C$96),(T2_CAF*T2_HC_TAUX)*(1+$C$96))</f>
        <v>0</v>
      </c>
      <c r="R96" s="284">
        <f>IF(T3_NBLOTS&lt;&gt;0,(T3_CAF*T3_HC_TAUX/T3_NBLOTS)*(1+$C$96),(T3_CAF*T3_HC_TAUX)*(1+$C$96))</f>
        <v>0</v>
      </c>
      <c r="S96" s="284">
        <f>IF(T4_NBLOTS&lt;&gt;0,(T4_CAF*T4_HC_TAUX/T4_NBLOTS)*(1+$C$96),(T4_CAF*T4_HC_TAUX)*(1+$C$96))</f>
        <v>0</v>
      </c>
      <c r="T96" s="284">
        <f>IF(T5_NBLOTS&lt;&gt;0,(T5_CAF*T5_HC_TAUX/T5_NBLOTS)*(1+$C$96),(T5_CAF*T5_HC_TAUX)*(1+$C$96))</f>
        <v>0</v>
      </c>
      <c r="U96" s="284">
        <f>IF(T6_NBLOTS&lt;&gt;0,(T6_CAF*T6_HC_TAUX/T6_NBLOTS)*(1+$C$96),(T6_CAF*T6_HC_TAUX)*(1+$C$96))</f>
        <v>0</v>
      </c>
      <c r="BF96" s="167">
        <f>T1_CAF*T1_HC_TAUX+T2_CAF*T2_HC_TAUX+T3_CAF*T3_HC_TAUX+T4_CAF*T4_HC_TAUX+T5_CAF*T5_HC_TAUX+T6_CAF*T6_HC_TAUX</f>
        <v>0</v>
      </c>
      <c r="BG96" s="166">
        <f>ROUND(BF96*(1+C96),0)</f>
        <v>0</v>
      </c>
      <c r="BH96" s="167">
        <f>BG96-BF96</f>
        <v>0</v>
      </c>
      <c r="BM96" s="168">
        <f ca="1">OFFSET(BM152,0,-DEC_HIN)*T1_HC_LOTS+OFFSET(BM156,0,-DEC_HIN)*T2_HC_LOTS+OFFSET(BM160,0,-DEC_HIN)*T3_HC_LOTS+OFFSET(BM164,0,-DEC_HIN)*T4_HC_LOTS+OFFSET(BM168,0,-DEC_HIN)*T5_HC_LOTS+OFFSET(BM172,0,-DEC_HIN)*T6_HC_LOTS</f>
        <v>0</v>
      </c>
      <c r="BN96" s="168">
        <f ca="1">OFFSET(BN152,0,-DEC_HIN)*T1_HC_LOTS+OFFSET(BN156,0,-DEC_HIN)*T2_HC_LOTS+OFFSET(BN160,0,-DEC_HIN)*T3_HC_LOTS+OFFSET(BN164,0,-DEC_HIN)*T4_HC_LOTS+OFFSET(BN168,0,-DEC_HIN)*T5_HC_LOTS+OFFSET(BN172,0,-DEC_HIN)*T6_HC_LOTS</f>
        <v>0</v>
      </c>
      <c r="BO96" s="168"/>
      <c r="BP96" s="168"/>
      <c r="BQ96" s="168"/>
      <c r="BR96" s="168"/>
      <c r="BS96" s="168"/>
      <c r="BT96" s="168"/>
      <c r="BU96" s="168"/>
      <c r="BV96" s="168"/>
      <c r="BW96" s="168"/>
      <c r="BX96" s="168"/>
      <c r="BY96" s="168"/>
      <c r="BZ96" s="168"/>
      <c r="CA96" s="168"/>
      <c r="CB96" s="168"/>
      <c r="CC96" s="168"/>
      <c r="CD96" s="168"/>
      <c r="CE96" s="168"/>
      <c r="CF96" s="168"/>
      <c r="CG96" s="168"/>
      <c r="CH96" s="168"/>
      <c r="CI96" s="168"/>
      <c r="CJ96" s="168"/>
      <c r="CK96" s="168"/>
      <c r="CL96" s="168"/>
      <c r="CM96" s="168"/>
      <c r="CN96" s="168"/>
      <c r="CO96" s="168"/>
      <c r="CP96" s="168"/>
      <c r="CQ96" s="168"/>
      <c r="CR96" s="168"/>
      <c r="CS96" s="168"/>
      <c r="CT96" s="168"/>
      <c r="CU96" s="168"/>
      <c r="CV96" s="168"/>
      <c r="CW96" s="168"/>
      <c r="CX96" s="168"/>
      <c r="CY96" s="168"/>
      <c r="CZ96" s="168"/>
      <c r="DA96" s="168"/>
      <c r="DB96" s="168"/>
      <c r="DC96" s="168"/>
      <c r="DD96" s="168"/>
      <c r="DE96" s="168"/>
      <c r="DF96" s="168"/>
      <c r="DG96" s="168"/>
      <c r="DH96" s="168"/>
      <c r="DI96" s="168"/>
      <c r="DJ96" s="168"/>
      <c r="DK96" s="168"/>
      <c r="DL96" s="168"/>
      <c r="DM96" s="168"/>
      <c r="DN96" s="168"/>
      <c r="DO96" s="168"/>
      <c r="DP96" s="168"/>
      <c r="DQ96" s="168"/>
      <c r="DR96" s="168"/>
      <c r="DS96" s="168"/>
      <c r="DT96" s="168"/>
      <c r="DU96" s="168"/>
      <c r="DV96" s="168"/>
      <c r="DW96" s="168"/>
      <c r="DX96" s="168"/>
      <c r="DY96" s="168"/>
      <c r="DZ96" s="168"/>
      <c r="EA96" s="168"/>
      <c r="EB96" s="168"/>
      <c r="EC96" s="168"/>
      <c r="ED96" s="168"/>
      <c r="EE96" s="168"/>
      <c r="EF96" s="168"/>
      <c r="EG96" s="168"/>
      <c r="EH96" s="168"/>
      <c r="EI96" s="168"/>
      <c r="EJ96" s="168"/>
      <c r="EK96" s="168"/>
      <c r="EL96" s="168"/>
      <c r="EM96" s="168"/>
      <c r="EN96" s="168"/>
      <c r="EO96" s="168"/>
      <c r="EP96" s="168"/>
      <c r="EQ96" s="168"/>
      <c r="ER96" s="168"/>
      <c r="ES96" s="168"/>
      <c r="ET96" s="168"/>
      <c r="EU96" s="168"/>
      <c r="EV96" s="168"/>
      <c r="EW96" s="168"/>
      <c r="EX96" s="168"/>
      <c r="EY96" s="168"/>
      <c r="EZ96" s="168"/>
      <c r="FA96" s="168"/>
      <c r="FB96" s="168"/>
      <c r="FC96" s="168"/>
      <c r="FD96" s="168"/>
      <c r="FE96" s="168"/>
      <c r="FF96" s="168"/>
      <c r="FG96" s="168"/>
      <c r="FH96" s="168"/>
      <c r="FI96" s="168"/>
      <c r="FJ96" s="168"/>
      <c r="FK96" s="168"/>
      <c r="FL96" s="168"/>
      <c r="FM96" s="168"/>
      <c r="FN96" s="168"/>
      <c r="FO96" s="168"/>
      <c r="FP96" s="168"/>
      <c r="FQ96" s="168"/>
      <c r="FR96" s="168"/>
      <c r="FS96" s="168"/>
      <c r="FT96" s="168"/>
      <c r="FU96" s="168"/>
      <c r="FV96" s="168"/>
      <c r="FW96" s="168"/>
      <c r="FX96" s="168"/>
      <c r="FY96" s="168"/>
      <c r="FZ96" s="168"/>
      <c r="GA96" s="168"/>
      <c r="GB96" s="168"/>
      <c r="GC96" s="168"/>
    </row>
    <row r="97" spans="1:185">
      <c r="A97" s="155"/>
      <c r="B97" s="156"/>
      <c r="C97" s="157"/>
      <c r="P97" s="139"/>
      <c r="Q97" s="139"/>
      <c r="R97" s="139"/>
      <c r="S97" s="139"/>
      <c r="T97" s="139"/>
      <c r="U97" s="139"/>
      <c r="BF97" s="167"/>
      <c r="BG97" s="166"/>
      <c r="BH97" s="167"/>
      <c r="BM97" s="168"/>
      <c r="BN97" s="705"/>
      <c r="BO97" s="705"/>
      <c r="BP97" s="705"/>
      <c r="BQ97" s="705"/>
      <c r="BR97" s="705"/>
      <c r="BS97" s="705"/>
      <c r="BT97" s="705"/>
      <c r="BU97" s="705"/>
      <c r="BV97" s="705"/>
      <c r="BW97" s="705"/>
      <c r="BX97" s="705"/>
      <c r="BY97" s="705"/>
      <c r="BZ97" s="705"/>
      <c r="CA97" s="705"/>
      <c r="CB97" s="705"/>
      <c r="CC97" s="705"/>
      <c r="CD97" s="705"/>
      <c r="CE97" s="705"/>
      <c r="CF97" s="705"/>
      <c r="CG97" s="705"/>
      <c r="CH97" s="705"/>
      <c r="CI97" s="705"/>
      <c r="CJ97" s="705"/>
      <c r="CK97" s="705"/>
      <c r="CL97" s="705"/>
      <c r="CM97" s="705"/>
      <c r="CN97" s="705"/>
      <c r="CO97" s="705"/>
      <c r="CP97" s="705"/>
      <c r="CQ97" s="705"/>
      <c r="CR97" s="705"/>
      <c r="CS97" s="705"/>
      <c r="CT97" s="705"/>
      <c r="CU97" s="705"/>
      <c r="CV97" s="705"/>
      <c r="CW97" s="705"/>
      <c r="CX97" s="705"/>
      <c r="CY97" s="705"/>
      <c r="CZ97" s="705"/>
      <c r="DA97" s="705"/>
      <c r="DB97" s="705"/>
      <c r="DC97" s="705"/>
      <c r="DD97" s="705"/>
      <c r="DE97" s="705"/>
      <c r="DF97" s="705"/>
      <c r="DG97" s="705"/>
      <c r="DH97" s="705"/>
      <c r="DI97" s="705"/>
      <c r="DJ97" s="705"/>
      <c r="DK97" s="705"/>
      <c r="DL97" s="705"/>
      <c r="DM97" s="705"/>
      <c r="DN97" s="705"/>
      <c r="DO97" s="705"/>
      <c r="DP97" s="705"/>
      <c r="DQ97" s="705"/>
      <c r="DR97" s="705"/>
      <c r="DS97" s="705"/>
      <c r="DT97" s="705"/>
      <c r="DU97" s="705"/>
      <c r="DV97" s="705"/>
      <c r="DW97" s="705"/>
      <c r="DX97" s="705"/>
      <c r="DY97" s="705"/>
      <c r="DZ97" s="705"/>
      <c r="EA97" s="705"/>
      <c r="EB97" s="705"/>
      <c r="EC97" s="705"/>
      <c r="ED97" s="705"/>
      <c r="EE97" s="705"/>
      <c r="EF97" s="705"/>
      <c r="EG97" s="705"/>
      <c r="EH97" s="705"/>
      <c r="EI97" s="705"/>
      <c r="EJ97" s="705"/>
      <c r="EK97" s="705"/>
      <c r="EL97" s="705"/>
      <c r="EM97" s="705"/>
      <c r="EN97" s="705"/>
      <c r="EO97" s="705"/>
      <c r="EP97" s="705"/>
      <c r="EQ97" s="705"/>
      <c r="ER97" s="705"/>
      <c r="ES97" s="705"/>
      <c r="ET97" s="705"/>
      <c r="EU97" s="705"/>
      <c r="EV97" s="705"/>
      <c r="EW97" s="705"/>
      <c r="EX97" s="705"/>
      <c r="EY97" s="705"/>
      <c r="EZ97" s="705"/>
      <c r="FA97" s="705"/>
      <c r="FB97" s="705"/>
      <c r="FC97" s="705"/>
      <c r="FD97" s="705"/>
      <c r="FE97" s="705"/>
      <c r="FF97" s="705"/>
      <c r="FG97" s="705"/>
      <c r="FH97" s="705"/>
      <c r="FI97" s="705"/>
      <c r="FJ97" s="705"/>
      <c r="FK97" s="705"/>
      <c r="FL97" s="705"/>
      <c r="FM97" s="705"/>
      <c r="FN97" s="705"/>
      <c r="FO97" s="705"/>
      <c r="FP97" s="705"/>
      <c r="FQ97" s="705"/>
      <c r="FR97" s="705"/>
      <c r="FS97" s="705"/>
      <c r="FT97" s="705"/>
      <c r="FU97" s="705"/>
      <c r="FV97" s="705"/>
      <c r="FW97" s="705"/>
      <c r="FX97" s="705"/>
      <c r="FY97" s="705"/>
      <c r="FZ97" s="705"/>
      <c r="GA97" s="705"/>
      <c r="GB97" s="705"/>
      <c r="GC97" s="705"/>
    </row>
    <row r="98" spans="1:185" ht="13.8" thickBot="1">
      <c r="A98" s="175"/>
      <c r="B98" s="176"/>
      <c r="AJ98" s="131"/>
      <c r="AK98" s="131"/>
      <c r="AL98" s="131"/>
      <c r="AM98" s="131"/>
      <c r="AN98" s="131"/>
      <c r="AO98" s="131"/>
      <c r="AP98" s="131"/>
      <c r="AQ98" s="131"/>
      <c r="AR98" s="131"/>
      <c r="AS98" s="131"/>
      <c r="AT98" s="131"/>
      <c r="AU98" s="131"/>
      <c r="AV98" s="131"/>
      <c r="AW98" s="131"/>
      <c r="AX98" s="131"/>
      <c r="AY98" s="131"/>
      <c r="AZ98" s="131"/>
      <c r="BA98" s="131"/>
      <c r="BB98" s="131"/>
      <c r="BC98" s="131"/>
      <c r="BD98" s="131" t="s">
        <v>90</v>
      </c>
      <c r="BE98" s="131"/>
      <c r="BF98" s="232">
        <f>SUM(BF4:BF96)</f>
        <v>0</v>
      </c>
      <c r="BG98" s="232">
        <f>SUM(BG4:BG96)</f>
        <v>0</v>
      </c>
      <c r="BH98" s="232">
        <f>SUM(BH4:BH96)</f>
        <v>0</v>
      </c>
      <c r="BM98" s="188"/>
      <c r="BN98" s="189"/>
      <c r="BO98" s="189"/>
      <c r="BP98" s="189"/>
      <c r="BQ98" s="189"/>
      <c r="BR98" s="189"/>
      <c r="BS98" s="189"/>
      <c r="BT98" s="189"/>
      <c r="BU98" s="189"/>
      <c r="BV98" s="189"/>
      <c r="BW98" s="189"/>
      <c r="BX98" s="189"/>
      <c r="BY98" s="189"/>
      <c r="BZ98" s="189"/>
      <c r="CA98" s="189"/>
      <c r="CB98" s="189"/>
      <c r="CC98" s="189"/>
      <c r="CD98" s="189"/>
      <c r="CE98" s="189"/>
      <c r="CF98" s="189"/>
      <c r="CG98" s="189"/>
      <c r="CH98" s="189"/>
      <c r="CI98" s="189"/>
      <c r="CJ98" s="189"/>
      <c r="CK98" s="189"/>
      <c r="CL98" s="189"/>
      <c r="CM98" s="189"/>
      <c r="CN98" s="189"/>
      <c r="CO98" s="189"/>
      <c r="CP98" s="189"/>
      <c r="CQ98" s="189"/>
      <c r="CR98" s="189"/>
      <c r="CS98" s="189"/>
      <c r="CT98" s="189"/>
      <c r="CU98" s="189"/>
      <c r="CV98" s="189"/>
      <c r="CW98" s="189"/>
      <c r="CX98" s="189"/>
      <c r="CY98" s="189"/>
      <c r="CZ98" s="189"/>
      <c r="DA98" s="189"/>
      <c r="DB98" s="189"/>
      <c r="DC98" s="189"/>
      <c r="DD98" s="189"/>
      <c r="DE98" s="189"/>
      <c r="DF98" s="189"/>
      <c r="DG98" s="189"/>
      <c r="DH98" s="189"/>
      <c r="DI98" s="189"/>
      <c r="DJ98" s="189"/>
      <c r="DK98" s="189"/>
      <c r="DL98" s="189"/>
      <c r="DM98" s="189"/>
      <c r="DN98" s="189"/>
      <c r="DO98" s="189"/>
      <c r="DP98" s="189"/>
      <c r="DQ98" s="189"/>
      <c r="DR98" s="189"/>
      <c r="DS98" s="189"/>
      <c r="DT98" s="189"/>
      <c r="DU98" s="189"/>
      <c r="DV98" s="189"/>
      <c r="DW98" s="189"/>
      <c r="DX98" s="189"/>
      <c r="DY98" s="189"/>
      <c r="DZ98" s="189"/>
      <c r="EA98" s="189"/>
      <c r="EB98" s="189"/>
      <c r="EC98" s="189"/>
      <c r="ED98" s="189"/>
      <c r="EE98" s="189"/>
      <c r="EF98" s="189"/>
      <c r="EG98" s="189"/>
      <c r="EH98" s="189"/>
      <c r="EI98" s="189"/>
      <c r="EJ98" s="189"/>
      <c r="EK98" s="189"/>
      <c r="EL98" s="189"/>
      <c r="EM98" s="189"/>
      <c r="EN98" s="189"/>
      <c r="EO98" s="189"/>
      <c r="EP98" s="189"/>
      <c r="EQ98" s="189"/>
      <c r="ER98" s="189"/>
      <c r="ES98" s="189"/>
      <c r="ET98" s="189"/>
      <c r="EU98" s="189"/>
      <c r="EV98" s="189"/>
      <c r="EW98" s="189"/>
      <c r="EX98" s="189"/>
      <c r="EY98" s="189"/>
      <c r="EZ98" s="189"/>
      <c r="FA98" s="189"/>
      <c r="FB98" s="189"/>
      <c r="FC98" s="189"/>
      <c r="FD98" s="189"/>
      <c r="FE98" s="189"/>
      <c r="FF98" s="189"/>
      <c r="FG98" s="189"/>
      <c r="FH98" s="189"/>
      <c r="FI98" s="189"/>
      <c r="FJ98" s="189"/>
      <c r="FK98" s="189"/>
      <c r="FL98" s="189"/>
      <c r="FM98" s="189"/>
      <c r="FN98" s="189"/>
      <c r="FO98" s="189"/>
      <c r="FP98" s="189"/>
      <c r="FQ98" s="189"/>
      <c r="FR98" s="189"/>
      <c r="FS98" s="189"/>
      <c r="FT98" s="189"/>
      <c r="FU98" s="189"/>
      <c r="FV98" s="189"/>
      <c r="FW98" s="189"/>
      <c r="FX98" s="189"/>
      <c r="FY98" s="189"/>
      <c r="FZ98" s="189"/>
      <c r="GA98" s="189"/>
      <c r="GB98" s="189"/>
      <c r="GC98" s="189"/>
    </row>
    <row r="99" spans="1:185">
      <c r="A99" s="281"/>
      <c r="B99" s="165"/>
      <c r="P99" s="286" t="s">
        <v>69</v>
      </c>
      <c r="Q99" s="287"/>
      <c r="R99" s="288"/>
      <c r="S99" s="286" t="s">
        <v>70</v>
      </c>
      <c r="T99" s="287"/>
      <c r="U99" s="288"/>
      <c r="V99" s="286" t="s">
        <v>71</v>
      </c>
      <c r="W99" s="287"/>
      <c r="X99" s="288"/>
      <c r="Y99" s="286" t="s">
        <v>72</v>
      </c>
      <c r="Z99" s="287"/>
      <c r="AA99" s="288"/>
      <c r="AB99" s="286" t="s">
        <v>73</v>
      </c>
      <c r="AC99" s="287"/>
      <c r="AD99" s="288"/>
      <c r="AE99" s="286" t="s">
        <v>74</v>
      </c>
      <c r="AF99" s="287"/>
      <c r="AG99" s="288"/>
      <c r="BF99" s="166"/>
      <c r="BG99" s="166"/>
      <c r="BH99" s="167"/>
      <c r="BM99" s="168"/>
      <c r="BN99" s="169"/>
      <c r="BO99" s="169"/>
      <c r="BP99" s="169"/>
      <c r="BQ99" s="169"/>
      <c r="BR99" s="169"/>
      <c r="BS99" s="169"/>
      <c r="BT99" s="169"/>
      <c r="BU99" s="169"/>
      <c r="BV99" s="169"/>
      <c r="BW99" s="169"/>
      <c r="BX99" s="169"/>
      <c r="BY99" s="169"/>
      <c r="BZ99" s="169"/>
      <c r="CA99" s="169"/>
      <c r="CB99" s="169"/>
      <c r="CC99" s="169"/>
      <c r="CD99" s="169"/>
      <c r="CE99" s="169"/>
      <c r="CF99" s="169"/>
      <c r="CG99" s="169"/>
      <c r="CH99" s="169"/>
      <c r="CI99" s="169"/>
      <c r="CJ99" s="169"/>
      <c r="CK99" s="169"/>
      <c r="CL99" s="169"/>
      <c r="CM99" s="169"/>
      <c r="CN99" s="169"/>
      <c r="CO99" s="169"/>
      <c r="CP99" s="169"/>
      <c r="CQ99" s="169"/>
      <c r="CR99" s="169"/>
      <c r="CS99" s="169"/>
      <c r="CT99" s="169"/>
      <c r="CU99" s="169"/>
      <c r="CV99" s="169"/>
      <c r="CW99" s="169"/>
      <c r="CX99" s="169"/>
      <c r="CY99" s="169"/>
      <c r="CZ99" s="169"/>
      <c r="DA99" s="169"/>
      <c r="DB99" s="169"/>
      <c r="DC99" s="169"/>
      <c r="DD99" s="169"/>
      <c r="DE99" s="169"/>
      <c r="DF99" s="169"/>
      <c r="DG99" s="169"/>
      <c r="DH99" s="169"/>
      <c r="DI99" s="169"/>
      <c r="DJ99" s="169"/>
      <c r="DK99" s="169"/>
      <c r="DL99" s="169"/>
      <c r="DM99" s="169"/>
      <c r="DN99" s="169"/>
      <c r="DO99" s="169"/>
      <c r="DP99" s="169"/>
      <c r="DQ99" s="169"/>
      <c r="DR99" s="169"/>
      <c r="DS99" s="169"/>
      <c r="DT99" s="169"/>
      <c r="DU99" s="169"/>
      <c r="DV99" s="169"/>
      <c r="DW99" s="169"/>
      <c r="DX99" s="169"/>
      <c r="DY99" s="169"/>
      <c r="DZ99" s="169"/>
      <c r="EA99" s="169"/>
      <c r="EB99" s="169"/>
      <c r="EC99" s="169"/>
      <c r="ED99" s="169"/>
      <c r="EE99" s="169"/>
      <c r="EF99" s="169"/>
      <c r="EG99" s="169"/>
      <c r="EH99" s="169"/>
      <c r="EI99" s="169"/>
      <c r="EJ99" s="169"/>
      <c r="EK99" s="169"/>
      <c r="EL99" s="169"/>
      <c r="EM99" s="169"/>
      <c r="EN99" s="169"/>
      <c r="EO99" s="169"/>
      <c r="EP99" s="169"/>
      <c r="EQ99" s="169"/>
      <c r="ER99" s="169"/>
      <c r="ES99" s="169"/>
      <c r="ET99" s="169"/>
      <c r="EU99" s="169"/>
      <c r="EV99" s="169"/>
      <c r="EW99" s="169"/>
      <c r="EX99" s="169"/>
      <c r="EY99" s="169"/>
      <c r="EZ99" s="169"/>
      <c r="FA99" s="169"/>
      <c r="FB99" s="169"/>
      <c r="FC99" s="169"/>
      <c r="FD99" s="169"/>
      <c r="FE99" s="169"/>
      <c r="FF99" s="169"/>
      <c r="FG99" s="169"/>
      <c r="FH99" s="169"/>
      <c r="FI99" s="169"/>
      <c r="FJ99" s="169"/>
      <c r="FK99" s="169"/>
      <c r="FL99" s="169"/>
      <c r="FM99" s="169"/>
      <c r="FN99" s="169"/>
      <c r="FO99" s="169"/>
      <c r="FP99" s="169"/>
      <c r="FQ99" s="169"/>
      <c r="FR99" s="169"/>
      <c r="FS99" s="169"/>
      <c r="FT99" s="169"/>
      <c r="FU99" s="169"/>
      <c r="FV99" s="169"/>
      <c r="FW99" s="169"/>
      <c r="FX99" s="169"/>
      <c r="FY99" s="169"/>
      <c r="FZ99" s="169"/>
      <c r="GA99" s="169"/>
      <c r="GB99" s="169"/>
      <c r="GC99" s="169"/>
    </row>
    <row r="100" spans="1:185">
      <c r="A100" s="289" t="s">
        <v>91</v>
      </c>
      <c r="B100" s="290" t="s">
        <v>41</v>
      </c>
      <c r="N100" s="291" t="s">
        <v>92</v>
      </c>
      <c r="O100" s="292" t="s">
        <v>93</v>
      </c>
      <c r="P100" s="293" t="s">
        <v>94</v>
      </c>
      <c r="Q100" s="294" t="s">
        <v>95</v>
      </c>
      <c r="R100" s="295"/>
      <c r="S100" s="293" t="s">
        <v>94</v>
      </c>
      <c r="T100" s="294" t="s">
        <v>95</v>
      </c>
      <c r="U100" s="295"/>
      <c r="V100" s="293" t="s">
        <v>94</v>
      </c>
      <c r="W100" s="294" t="s">
        <v>95</v>
      </c>
      <c r="X100" s="295"/>
      <c r="Y100" s="293" t="s">
        <v>94</v>
      </c>
      <c r="Z100" s="294" t="s">
        <v>95</v>
      </c>
      <c r="AA100" s="295"/>
      <c r="AB100" s="293" t="s">
        <v>94</v>
      </c>
      <c r="AC100" s="294" t="s">
        <v>95</v>
      </c>
      <c r="AD100" s="295"/>
      <c r="AE100" s="293" t="s">
        <v>94</v>
      </c>
      <c r="AF100" s="294" t="s">
        <v>95</v>
      </c>
      <c r="AG100" s="295"/>
      <c r="BF100" s="166">
        <v>0</v>
      </c>
      <c r="BG100" s="166">
        <f>TVA_COL-TVA_DED</f>
        <v>0</v>
      </c>
      <c r="BH100" s="167">
        <f>BG100-BF100</f>
        <v>0</v>
      </c>
      <c r="BM100" s="168">
        <f ca="1">IF(OFFSET(BM$152,0,-DEC_TVA-DEC_APF)&lt;&gt;0,(OFFSET(BM$115,0,-DEC_TVA)-OFFSET(BM$115,0,-DEC_TVA)/(1+T1_CAF_TX_TVA))-(T1_TVADED_LOTS*OFFSET(BM$152,0,-DEC_TVA-DEC_APF)),0)</f>
        <v>0</v>
      </c>
      <c r="BN100" s="168">
        <f ca="1">IF(OFFSET(BN$152,0,-DEC_TVA-DEC_APF)&lt;&gt;0,(OFFSET(BN$115,0,-DEC_TVA)-OFFSET(BN$115,0,-DEC_TVA)/(1+T1_CAF_TX_TVA))-(T1_TVADED_LOTS*OFFSET(BN$152,0,-DEC_TVA-DEC_APF)),0)</f>
        <v>0</v>
      </c>
      <c r="BO100" s="168"/>
      <c r="BP100" s="168"/>
      <c r="BQ100" s="168"/>
      <c r="BR100" s="168"/>
      <c r="BS100" s="168"/>
      <c r="BT100" s="168"/>
      <c r="BU100" s="168"/>
      <c r="BV100" s="168"/>
      <c r="BW100" s="168"/>
      <c r="BX100" s="168"/>
      <c r="BY100" s="168"/>
      <c r="BZ100" s="168"/>
      <c r="CA100" s="168"/>
      <c r="CB100" s="168"/>
      <c r="CC100" s="168"/>
      <c r="CD100" s="168"/>
      <c r="CE100" s="168"/>
      <c r="CF100" s="168"/>
      <c r="CG100" s="168"/>
      <c r="CH100" s="168"/>
      <c r="CI100" s="168"/>
      <c r="CJ100" s="168"/>
      <c r="CK100" s="168"/>
      <c r="CL100" s="168"/>
      <c r="CM100" s="168"/>
      <c r="CN100" s="168"/>
      <c r="CO100" s="168"/>
      <c r="CP100" s="168"/>
      <c r="CQ100" s="168"/>
      <c r="CR100" s="168"/>
      <c r="CS100" s="168"/>
      <c r="CT100" s="168"/>
      <c r="CU100" s="168"/>
      <c r="CV100" s="168"/>
      <c r="CW100" s="168"/>
      <c r="CX100" s="168"/>
      <c r="CY100" s="168"/>
      <c r="CZ100" s="168"/>
      <c r="DA100" s="168"/>
      <c r="DB100" s="168"/>
      <c r="DC100" s="168"/>
      <c r="DD100" s="168"/>
      <c r="DE100" s="168"/>
      <c r="DF100" s="168"/>
      <c r="DG100" s="168"/>
      <c r="DH100" s="168"/>
      <c r="DI100" s="168"/>
      <c r="DJ100" s="168"/>
      <c r="DK100" s="168"/>
      <c r="DL100" s="168"/>
      <c r="DM100" s="168"/>
      <c r="DN100" s="168"/>
      <c r="DO100" s="168"/>
      <c r="DP100" s="168"/>
      <c r="DQ100" s="168"/>
      <c r="DR100" s="168"/>
      <c r="DS100" s="168"/>
      <c r="DT100" s="168"/>
      <c r="DU100" s="168"/>
      <c r="DV100" s="168"/>
      <c r="DW100" s="168"/>
      <c r="DX100" s="168"/>
      <c r="DY100" s="168"/>
      <c r="DZ100" s="168"/>
      <c r="EA100" s="168"/>
      <c r="EB100" s="168"/>
      <c r="EC100" s="168"/>
      <c r="ED100" s="168"/>
      <c r="EE100" s="168"/>
      <c r="EF100" s="168"/>
      <c r="EG100" s="168"/>
      <c r="EH100" s="168"/>
      <c r="EI100" s="168"/>
      <c r="EJ100" s="168"/>
      <c r="EK100" s="168"/>
      <c r="EL100" s="168"/>
      <c r="EM100" s="168"/>
      <c r="EN100" s="168"/>
      <c r="EO100" s="168"/>
      <c r="EP100" s="168"/>
      <c r="EQ100" s="168"/>
      <c r="ER100" s="168"/>
      <c r="ES100" s="168"/>
      <c r="ET100" s="168"/>
      <c r="EU100" s="168"/>
      <c r="EV100" s="168"/>
      <c r="EW100" s="168"/>
      <c r="EX100" s="168"/>
      <c r="EY100" s="168"/>
      <c r="EZ100" s="168"/>
      <c r="FA100" s="168"/>
      <c r="FB100" s="168"/>
      <c r="FC100" s="168"/>
      <c r="FD100" s="168"/>
      <c r="FE100" s="168"/>
      <c r="FF100" s="168"/>
      <c r="FG100" s="168"/>
      <c r="FH100" s="168"/>
      <c r="FI100" s="168"/>
      <c r="FJ100" s="168"/>
      <c r="FK100" s="168"/>
      <c r="FL100" s="168"/>
      <c r="FM100" s="168"/>
      <c r="FN100" s="168"/>
      <c r="FO100" s="168"/>
      <c r="FP100" s="168"/>
      <c r="FQ100" s="168"/>
      <c r="FR100" s="168"/>
      <c r="FS100" s="168"/>
      <c r="FT100" s="168"/>
      <c r="FU100" s="168"/>
      <c r="FV100" s="168"/>
      <c r="FW100" s="168"/>
      <c r="FX100" s="168"/>
      <c r="FY100" s="168"/>
      <c r="FZ100" s="168"/>
      <c r="GA100" s="168"/>
      <c r="GB100" s="168"/>
      <c r="GC100" s="168"/>
    </row>
    <row r="101" spans="1:185" ht="13.8" thickBot="1">
      <c r="A101" s="155"/>
      <c r="B101" s="290" t="s">
        <v>51</v>
      </c>
      <c r="N101" s="291">
        <f>CAF-T1_CAF/(1+T1_CAF_TX_TVA)-T2_CAF/(1+T2_CAF_TX_TVA)-T3_CAF/(1+T3_CAF_TX_TVA)-T4_CAF/(1+T4_CAF_TX_TVA)-T5_CAF/(1+T5_CAF_TX_TVA)-T6_CAF/(1+T6_CAF_TX_TVA)</f>
        <v>0</v>
      </c>
      <c r="O101" s="145">
        <f>DEP_TVA+FF_TVA+FF_INI_TVA</f>
        <v>0</v>
      </c>
      <c r="P101" s="296">
        <f>T1_CAF_LOTS-T1_CAF_LOTS/(1+T1_CAF_TX_TVA)</f>
        <v>0</v>
      </c>
      <c r="Q101" s="297">
        <f>IF(T1_NBLOTS&lt;&gt;0,$O101*T1_CAF_POURC/T1_NBLOTS,$O101*T1_CAF_POURC)</f>
        <v>0</v>
      </c>
      <c r="R101" s="298"/>
      <c r="S101" s="296">
        <f>T2_CAF_LOTS-T2_CAF_LOTS/(1+T2_CAF_TX_TVA)</f>
        <v>0</v>
      </c>
      <c r="T101" s="297">
        <f>IF(T2_NBLOTS&lt;&gt;0,$O101*T2_CAF_POURC/T2_NBLOTS,$O101*T2_CAF_POURC)</f>
        <v>0</v>
      </c>
      <c r="U101" s="298"/>
      <c r="V101" s="296">
        <f>T3_CAF_LOTS-T3_CAF_LOTS/(1+T3_CAF_TX_TVA)</f>
        <v>0</v>
      </c>
      <c r="W101" s="297">
        <f>IF(T3_NBLOTS&lt;&gt;0,$O101*T3_CAF_POURC/T3_NBLOTS,$O101*T3_CAF_POURC)</f>
        <v>0</v>
      </c>
      <c r="X101" s="298"/>
      <c r="Y101" s="296">
        <f>T4_CAF_LOTS-T4_CAF_LOTS/(1+T4_CAF_TX_TVA)</f>
        <v>0</v>
      </c>
      <c r="Z101" s="297">
        <f>IF(T4_NBLOTS&lt;&gt;0,$O101*T4_CAF_POURC/T4_NBLOTS,$O101*T4_CAF_POURC)</f>
        <v>0</v>
      </c>
      <c r="AA101" s="298"/>
      <c r="AB101" s="296">
        <f>T5_CAF_LOTS-T5_CAF_LOTS/(1+T5_CAF_TX_TVA)</f>
        <v>0</v>
      </c>
      <c r="AC101" s="297">
        <f>IF(T5_NBLOTS&lt;&gt;0,$O101*T5_CAF_POURC/T5_NBLOTS,$O101*T5_CAF_POURC)</f>
        <v>0</v>
      </c>
      <c r="AD101" s="298"/>
      <c r="AE101" s="296">
        <f>T6_CAF_LOTS-T6_CAF_LOTS/(1+T6_CAF_TX_TVA)</f>
        <v>0</v>
      </c>
      <c r="AF101" s="297">
        <f>IF(T6_NBLOTS&lt;&gt;0,$O101*T6_CAF_POURC/T6_NBLOTS,$O101*T6_CAF_POURC)</f>
        <v>0</v>
      </c>
      <c r="AG101" s="298"/>
      <c r="BF101" s="166"/>
      <c r="BG101" s="166"/>
      <c r="BH101" s="167"/>
      <c r="BM101" s="168">
        <f ca="1">IF(OFFSET(BM$156,0,-DEC_TVA-DEC_APF)&lt;&gt;0,(OFFSET(BM$117,0,-DEC_TVA)-OFFSET(BM$117,0,-DEC_TVA)/(1+T2_CAF_TX_TVA))-(T2_TVADED_LOTS*OFFSET(BM$156,0,-DEC_TVA-DEC_APF)),0)</f>
        <v>0</v>
      </c>
      <c r="BN101" s="168">
        <f ca="1">IF(OFFSET(BN$156,0,-DEC_TVA-DEC_APF)&lt;&gt;0,(OFFSET(BN$117,0,-DEC_TVA)-OFFSET(BN$117,0,-DEC_TVA)/(1+T2_CAF_TX_TVA))-(T2_TVADED_LOTS*OFFSET(BN$156,0,-DEC_TVA-DEC_APF)),0)</f>
        <v>0</v>
      </c>
      <c r="BO101" s="168"/>
      <c r="BP101" s="168"/>
      <c r="BQ101" s="168"/>
      <c r="BR101" s="168"/>
      <c r="BS101" s="168"/>
      <c r="BT101" s="168"/>
      <c r="BU101" s="168"/>
      <c r="BV101" s="168"/>
      <c r="BW101" s="168"/>
      <c r="BX101" s="168"/>
      <c r="BY101" s="168"/>
      <c r="BZ101" s="168"/>
      <c r="CA101" s="168"/>
      <c r="CB101" s="168"/>
      <c r="CC101" s="168"/>
      <c r="CD101" s="168"/>
      <c r="CE101" s="168"/>
      <c r="CF101" s="168"/>
      <c r="CG101" s="168"/>
      <c r="CH101" s="168"/>
      <c r="CI101" s="168"/>
      <c r="CJ101" s="168"/>
      <c r="CK101" s="168"/>
      <c r="CL101" s="168"/>
      <c r="CM101" s="168"/>
      <c r="CN101" s="168"/>
      <c r="CO101" s="168"/>
      <c r="CP101" s="168"/>
      <c r="CQ101" s="168"/>
      <c r="CR101" s="168"/>
      <c r="CS101" s="168"/>
      <c r="CT101" s="168"/>
      <c r="CU101" s="168"/>
      <c r="CV101" s="168"/>
      <c r="CW101" s="168"/>
      <c r="CX101" s="168"/>
      <c r="CY101" s="168"/>
      <c r="CZ101" s="168"/>
      <c r="DA101" s="168"/>
      <c r="DB101" s="168"/>
      <c r="DC101" s="168"/>
      <c r="DD101" s="168"/>
      <c r="DE101" s="168"/>
      <c r="DF101" s="168"/>
      <c r="DG101" s="168"/>
      <c r="DH101" s="168"/>
      <c r="DI101" s="168"/>
      <c r="DJ101" s="168"/>
      <c r="DK101" s="168"/>
      <c r="DL101" s="168"/>
      <c r="DM101" s="168"/>
      <c r="DN101" s="168"/>
      <c r="DO101" s="168"/>
      <c r="DP101" s="168"/>
      <c r="DQ101" s="168"/>
      <c r="DR101" s="168"/>
      <c r="DS101" s="168"/>
      <c r="DT101" s="168"/>
      <c r="DU101" s="168"/>
      <c r="DV101" s="168"/>
      <c r="DW101" s="168"/>
      <c r="DX101" s="168"/>
      <c r="DY101" s="168"/>
      <c r="DZ101" s="168"/>
      <c r="EA101" s="168"/>
      <c r="EB101" s="168"/>
      <c r="EC101" s="168"/>
      <c r="ED101" s="168"/>
      <c r="EE101" s="168"/>
      <c r="EF101" s="168"/>
      <c r="EG101" s="168"/>
      <c r="EH101" s="168"/>
      <c r="EI101" s="168"/>
      <c r="EJ101" s="168"/>
      <c r="EK101" s="168"/>
      <c r="EL101" s="168"/>
      <c r="EM101" s="168"/>
      <c r="EN101" s="168"/>
      <c r="EO101" s="168"/>
      <c r="EP101" s="168"/>
      <c r="EQ101" s="168"/>
      <c r="ER101" s="168"/>
      <c r="ES101" s="168"/>
      <c r="ET101" s="168"/>
      <c r="EU101" s="168"/>
      <c r="EV101" s="168"/>
      <c r="EW101" s="168"/>
      <c r="EX101" s="168"/>
      <c r="EY101" s="168"/>
      <c r="EZ101" s="168"/>
      <c r="FA101" s="168"/>
      <c r="FB101" s="168"/>
      <c r="FC101" s="168"/>
      <c r="FD101" s="168"/>
      <c r="FE101" s="168"/>
      <c r="FF101" s="168"/>
      <c r="FG101" s="168"/>
      <c r="FH101" s="168"/>
      <c r="FI101" s="168"/>
      <c r="FJ101" s="168"/>
      <c r="FK101" s="168"/>
      <c r="FL101" s="168"/>
      <c r="FM101" s="168"/>
      <c r="FN101" s="168"/>
      <c r="FO101" s="168"/>
      <c r="FP101" s="168"/>
      <c r="FQ101" s="168"/>
      <c r="FR101" s="168"/>
      <c r="FS101" s="168"/>
      <c r="FT101" s="168"/>
      <c r="FU101" s="168"/>
      <c r="FV101" s="168"/>
      <c r="FW101" s="168"/>
      <c r="FX101" s="168"/>
      <c r="FY101" s="168"/>
      <c r="FZ101" s="168"/>
      <c r="GA101" s="168"/>
      <c r="GB101" s="168"/>
      <c r="GC101" s="168"/>
    </row>
    <row r="102" spans="1:185">
      <c r="A102" s="155"/>
      <c r="B102" s="290" t="s">
        <v>53</v>
      </c>
      <c r="O102" s="299"/>
      <c r="P102" s="286" t="s">
        <v>69</v>
      </c>
      <c r="Q102" s="300"/>
      <c r="R102" s="300"/>
      <c r="S102" s="286" t="s">
        <v>70</v>
      </c>
      <c r="T102" s="300"/>
      <c r="U102" s="300"/>
      <c r="V102" s="286" t="s">
        <v>71</v>
      </c>
      <c r="W102" s="287"/>
      <c r="X102" s="288"/>
      <c r="Y102" s="286" t="s">
        <v>72</v>
      </c>
      <c r="Z102" s="287"/>
      <c r="AA102" s="288"/>
      <c r="AB102" s="286" t="s">
        <v>73</v>
      </c>
      <c r="AC102" s="287"/>
      <c r="AD102" s="288"/>
      <c r="AE102" s="286" t="s">
        <v>74</v>
      </c>
      <c r="AF102" s="287"/>
      <c r="AG102" s="288"/>
      <c r="BF102" s="166"/>
      <c r="BG102" s="166"/>
      <c r="BH102" s="167"/>
      <c r="BM102" s="168">
        <f ca="1">IF(OFFSET(BM$160,0,-DEC_TVA-DEC_APF)&lt;&gt;0,(OFFSET(BM$119,0,-DEC_TVA)-OFFSET(BM$119,0,-DEC_TVA)/(1+T3_CAF_TX_TVA))-(T3_TVADED_LOTS*OFFSET(BM$160,0,-DEC_TVA-DEC_APF)),0)</f>
        <v>0</v>
      </c>
      <c r="BN102" s="168">
        <f ca="1">IF(OFFSET(BN$160,0,-DEC_TVA-DEC_APF)&lt;&gt;0,(OFFSET(BN$119,0,-DEC_TVA)-OFFSET(BN$119,0,-DEC_TVA)/(1+T3_CAF_TX_TVA))-(T3_TVADED_LOTS*OFFSET(BN$160,0,-DEC_TVA-DEC_APF)),0)</f>
        <v>0</v>
      </c>
      <c r="BO102" s="168"/>
      <c r="BP102" s="168"/>
      <c r="BQ102" s="168"/>
      <c r="BR102" s="168"/>
      <c r="BS102" s="168"/>
      <c r="BT102" s="168"/>
      <c r="BU102" s="168"/>
      <c r="BV102" s="168"/>
      <c r="BW102" s="168"/>
      <c r="BX102" s="168"/>
      <c r="BY102" s="168"/>
      <c r="BZ102" s="168"/>
      <c r="CA102" s="168"/>
      <c r="CB102" s="168"/>
      <c r="CC102" s="168"/>
      <c r="CD102" s="168"/>
      <c r="CE102" s="168"/>
      <c r="CF102" s="168"/>
      <c r="CG102" s="168"/>
      <c r="CH102" s="168"/>
      <c r="CI102" s="168"/>
      <c r="CJ102" s="168"/>
      <c r="CK102" s="168"/>
      <c r="CL102" s="168"/>
      <c r="CM102" s="168"/>
      <c r="CN102" s="168"/>
      <c r="CO102" s="168"/>
      <c r="CP102" s="168"/>
      <c r="CQ102" s="168"/>
      <c r="CR102" s="168"/>
      <c r="CS102" s="168"/>
      <c r="CT102" s="168"/>
      <c r="CU102" s="168"/>
      <c r="CV102" s="168"/>
      <c r="CW102" s="168"/>
      <c r="CX102" s="168"/>
      <c r="CY102" s="168"/>
      <c r="CZ102" s="168"/>
      <c r="DA102" s="168"/>
      <c r="DB102" s="168"/>
      <c r="DC102" s="168"/>
      <c r="DD102" s="168"/>
      <c r="DE102" s="168"/>
      <c r="DF102" s="168"/>
      <c r="DG102" s="168"/>
      <c r="DH102" s="168"/>
      <c r="DI102" s="168"/>
      <c r="DJ102" s="168"/>
      <c r="DK102" s="168"/>
      <c r="DL102" s="168"/>
      <c r="DM102" s="168"/>
      <c r="DN102" s="168"/>
      <c r="DO102" s="168"/>
      <c r="DP102" s="168"/>
      <c r="DQ102" s="168"/>
      <c r="DR102" s="168"/>
      <c r="DS102" s="168"/>
      <c r="DT102" s="168"/>
      <c r="DU102" s="168"/>
      <c r="DV102" s="168"/>
      <c r="DW102" s="168"/>
      <c r="DX102" s="168"/>
      <c r="DY102" s="168"/>
      <c r="DZ102" s="168"/>
      <c r="EA102" s="168"/>
      <c r="EB102" s="168"/>
      <c r="EC102" s="168"/>
      <c r="ED102" s="168"/>
      <c r="EE102" s="168"/>
      <c r="EF102" s="168"/>
      <c r="EG102" s="168"/>
      <c r="EH102" s="168"/>
      <c r="EI102" s="168"/>
      <c r="EJ102" s="168"/>
      <c r="EK102" s="168"/>
      <c r="EL102" s="168"/>
      <c r="EM102" s="168"/>
      <c r="EN102" s="168"/>
      <c r="EO102" s="168"/>
      <c r="EP102" s="168"/>
      <c r="EQ102" s="168"/>
      <c r="ER102" s="168"/>
      <c r="ES102" s="168"/>
      <c r="ET102" s="168"/>
      <c r="EU102" s="168"/>
      <c r="EV102" s="168"/>
      <c r="EW102" s="168"/>
      <c r="EX102" s="168"/>
      <c r="EY102" s="168"/>
      <c r="EZ102" s="168"/>
      <c r="FA102" s="168"/>
      <c r="FB102" s="168"/>
      <c r="FC102" s="168"/>
      <c r="FD102" s="168"/>
      <c r="FE102" s="168"/>
      <c r="FF102" s="168"/>
      <c r="FG102" s="168"/>
      <c r="FH102" s="168"/>
      <c r="FI102" s="168"/>
      <c r="FJ102" s="168"/>
      <c r="FK102" s="168"/>
      <c r="FL102" s="168"/>
      <c r="FM102" s="168"/>
      <c r="FN102" s="168"/>
      <c r="FO102" s="168"/>
      <c r="FP102" s="168"/>
      <c r="FQ102" s="168"/>
      <c r="FR102" s="168"/>
      <c r="FS102" s="168"/>
      <c r="FT102" s="168"/>
      <c r="FU102" s="168"/>
      <c r="FV102" s="168"/>
      <c r="FW102" s="168"/>
      <c r="FX102" s="168"/>
      <c r="FY102" s="168"/>
      <c r="FZ102" s="168"/>
      <c r="GA102" s="168"/>
      <c r="GB102" s="168"/>
      <c r="GC102" s="168"/>
    </row>
    <row r="103" spans="1:185">
      <c r="A103" s="155"/>
      <c r="B103" s="290" t="s">
        <v>55</v>
      </c>
      <c r="N103" s="291" t="s">
        <v>96</v>
      </c>
      <c r="O103" s="292" t="s">
        <v>97</v>
      </c>
      <c r="P103" s="293" t="s">
        <v>98</v>
      </c>
      <c r="Q103" s="294" t="s">
        <v>99</v>
      </c>
      <c r="R103" s="295" t="s">
        <v>100</v>
      </c>
      <c r="S103" s="293" t="s">
        <v>98</v>
      </c>
      <c r="T103" s="294" t="s">
        <v>99</v>
      </c>
      <c r="U103" s="295" t="s">
        <v>100</v>
      </c>
      <c r="V103" s="293" t="s">
        <v>98</v>
      </c>
      <c r="W103" s="294" t="s">
        <v>99</v>
      </c>
      <c r="X103" s="295" t="s">
        <v>100</v>
      </c>
      <c r="Y103" s="293" t="s">
        <v>98</v>
      </c>
      <c r="Z103" s="294" t="s">
        <v>99</v>
      </c>
      <c r="AA103" s="295" t="s">
        <v>100</v>
      </c>
      <c r="AB103" s="293" t="s">
        <v>98</v>
      </c>
      <c r="AC103" s="294" t="s">
        <v>99</v>
      </c>
      <c r="AD103" s="295" t="s">
        <v>100</v>
      </c>
      <c r="AE103" s="293" t="s">
        <v>98</v>
      </c>
      <c r="AF103" s="294" t="s">
        <v>99</v>
      </c>
      <c r="AG103" s="295" t="s">
        <v>100</v>
      </c>
      <c r="BF103" s="166"/>
      <c r="BG103" s="166"/>
      <c r="BH103" s="167"/>
      <c r="BM103" s="168">
        <f ca="1">IF(OFFSET(BM$164,0,-DEC_TVA-DEC_APF)&lt;&gt;0,(OFFSET(BM$121,0,-DEC_TVA)-OFFSET(BM$121,0,-DEC_TVA)/(1+T4_CAF_TX_TVA))-(T4_TVADED_LOTS*OFFSET(BM$164,0,-DEC_TVA-DEC_APF)),0)</f>
        <v>0</v>
      </c>
      <c r="BN103" s="168">
        <f ca="1">IF(OFFSET(BN$164,0,-DEC_TVA-DEC_APF)&lt;&gt;0,(OFFSET(BN$121,0,-DEC_TVA)-OFFSET(BN$121,0,-DEC_TVA)/(1+T4_CAF_TX_TVA))-(T4_TVADED_LOTS*OFFSET(BN$164,0,-DEC_TVA-DEC_APF)),0)</f>
        <v>0</v>
      </c>
      <c r="BO103" s="168"/>
      <c r="BP103" s="168"/>
      <c r="BQ103" s="168"/>
      <c r="BR103" s="168"/>
      <c r="BS103" s="168"/>
      <c r="BT103" s="168"/>
      <c r="BU103" s="168"/>
      <c r="BV103" s="168"/>
      <c r="BW103" s="168"/>
      <c r="BX103" s="168"/>
      <c r="BY103" s="168"/>
      <c r="BZ103" s="168"/>
      <c r="CA103" s="168"/>
      <c r="CB103" s="168"/>
      <c r="CC103" s="168"/>
      <c r="CD103" s="168"/>
      <c r="CE103" s="168"/>
      <c r="CF103" s="168"/>
      <c r="CG103" s="168"/>
      <c r="CH103" s="168"/>
      <c r="CI103" s="168"/>
      <c r="CJ103" s="168"/>
      <c r="CK103" s="168"/>
      <c r="CL103" s="168"/>
      <c r="CM103" s="168"/>
      <c r="CN103" s="168"/>
      <c r="CO103" s="168"/>
      <c r="CP103" s="168"/>
      <c r="CQ103" s="168"/>
      <c r="CR103" s="168"/>
      <c r="CS103" s="168"/>
      <c r="CT103" s="168"/>
      <c r="CU103" s="168"/>
      <c r="CV103" s="168"/>
      <c r="CW103" s="168"/>
      <c r="CX103" s="168"/>
      <c r="CY103" s="168"/>
      <c r="CZ103" s="168"/>
      <c r="DA103" s="168"/>
      <c r="DB103" s="168"/>
      <c r="DC103" s="168"/>
      <c r="DD103" s="168"/>
      <c r="DE103" s="168"/>
      <c r="DF103" s="168"/>
      <c r="DG103" s="168"/>
      <c r="DH103" s="168"/>
      <c r="DI103" s="168"/>
      <c r="DJ103" s="168"/>
      <c r="DK103" s="168"/>
      <c r="DL103" s="168"/>
      <c r="DM103" s="168"/>
      <c r="DN103" s="168"/>
      <c r="DO103" s="168"/>
      <c r="DP103" s="168"/>
      <c r="DQ103" s="168"/>
      <c r="DR103" s="168"/>
      <c r="DS103" s="168"/>
      <c r="DT103" s="168"/>
      <c r="DU103" s="168"/>
      <c r="DV103" s="168"/>
      <c r="DW103" s="168"/>
      <c r="DX103" s="168"/>
      <c r="DY103" s="168"/>
      <c r="DZ103" s="168"/>
      <c r="EA103" s="168"/>
      <c r="EB103" s="168"/>
      <c r="EC103" s="168"/>
      <c r="ED103" s="168"/>
      <c r="EE103" s="168"/>
      <c r="EF103" s="168"/>
      <c r="EG103" s="168"/>
      <c r="EH103" s="168"/>
      <c r="EI103" s="168"/>
      <c r="EJ103" s="168"/>
      <c r="EK103" s="168"/>
      <c r="EL103" s="168"/>
      <c r="EM103" s="168"/>
      <c r="EN103" s="168"/>
      <c r="EO103" s="168"/>
      <c r="EP103" s="168"/>
      <c r="EQ103" s="168"/>
      <c r="ER103" s="168"/>
      <c r="ES103" s="168"/>
      <c r="ET103" s="168"/>
      <c r="EU103" s="168"/>
      <c r="EV103" s="168"/>
      <c r="EW103" s="168"/>
      <c r="EX103" s="168"/>
      <c r="EY103" s="168"/>
      <c r="EZ103" s="168"/>
      <c r="FA103" s="168"/>
      <c r="FB103" s="168"/>
      <c r="FC103" s="168"/>
      <c r="FD103" s="168"/>
      <c r="FE103" s="168"/>
      <c r="FF103" s="168"/>
      <c r="FG103" s="168"/>
      <c r="FH103" s="168"/>
      <c r="FI103" s="168"/>
      <c r="FJ103" s="168"/>
      <c r="FK103" s="168"/>
      <c r="FL103" s="168"/>
      <c r="FM103" s="168"/>
      <c r="FN103" s="168"/>
      <c r="FO103" s="168"/>
      <c r="FP103" s="168"/>
      <c r="FQ103" s="168"/>
      <c r="FR103" s="168"/>
      <c r="FS103" s="168"/>
      <c r="FT103" s="168"/>
      <c r="FU103" s="168"/>
      <c r="FV103" s="168"/>
      <c r="FW103" s="168"/>
      <c r="FX103" s="168"/>
      <c r="FY103" s="168"/>
      <c r="FZ103" s="168"/>
      <c r="GA103" s="168"/>
      <c r="GB103" s="168"/>
      <c r="GC103" s="168"/>
    </row>
    <row r="104" spans="1:185" ht="13.8" thickBot="1">
      <c r="A104" s="155"/>
      <c r="B104" s="290" t="s">
        <v>57</v>
      </c>
      <c r="N104" s="291">
        <f>ROUND(ROUND(T1_CAF/(1+T1_CAF_TX_TVA),0)+ROUND(T2_CAF/(1+T2_CAF_TX_TVA),0)+ROUND(T3_CAF/(1+T3_CAF_TX_TVA),0)+ROUND(T4_CAF/(1+T4_CAF_TX_TVA),0)+ROUND(T5_CAF/(1+T5_CAF_TX_TVA),0)+ROUND(T6_CAF/(1+T6_CAF_TX_TVA),0)-PRIX_REVIENT,0)</f>
        <v>-6</v>
      </c>
      <c r="O104" s="145">
        <f>DEP_HT+FF_HT+FF_INI_HT+G.F.A_HT</f>
        <v>6</v>
      </c>
      <c r="P104" s="296">
        <f>T1_CAF_LOTS/(1+T1_CAF_TX_TVA)</f>
        <v>0</v>
      </c>
      <c r="Q104" s="297">
        <f>IF(T1_NBLOTS&lt;&gt;0,$O104*T1_CAF_POURC/T1_NBLOTS,$O104*T1_CAF_POURC)</f>
        <v>0</v>
      </c>
      <c r="R104" s="298">
        <f>P104-Q104</f>
        <v>0</v>
      </c>
      <c r="S104" s="296">
        <f>T2_CAF_LOTS/(1+T2_CAF_TX_TVA)</f>
        <v>0</v>
      </c>
      <c r="T104" s="297">
        <f>IF(T2_NBLOTS&lt;&gt;0,$O104*T2_CAF_POURC/T2_NBLOTS,$O104*T2_CAF_POURC)</f>
        <v>0</v>
      </c>
      <c r="U104" s="298">
        <f>S104-T104</f>
        <v>0</v>
      </c>
      <c r="V104" s="296">
        <f>T3_CAF_LOTS/(1+T3_CAF_TX_TVA)</f>
        <v>0</v>
      </c>
      <c r="W104" s="297">
        <f>IF(T3_NBLOTS&lt;&gt;0,$O104*T3_CAF_POURC/T3_NBLOTS,$O104*T3_CAF_POURC)</f>
        <v>0</v>
      </c>
      <c r="X104" s="298">
        <f>V104-W104</f>
        <v>0</v>
      </c>
      <c r="Y104" s="296">
        <f>T4_CAF_LOTS/(1+T4_CAF_TX_TVA)</f>
        <v>0</v>
      </c>
      <c r="Z104" s="297">
        <f>IF(T4_NBLOTS&lt;&gt;0,$O104*T4_CAF_POURC/T4_NBLOTS,$O104*T4_CAF_POURC)</f>
        <v>0</v>
      </c>
      <c r="AA104" s="298">
        <f>Y104-Z104</f>
        <v>0</v>
      </c>
      <c r="AB104" s="296">
        <f>T5_CAF_LOTS/(1+T5_CAF_TX_TVA)</f>
        <v>0</v>
      </c>
      <c r="AC104" s="297">
        <f>IF(T5_NBLOTS&lt;&gt;0,$O104*T5_CAF_POURC/T5_NBLOTS,$O104*T5_CAF_POURC)</f>
        <v>0</v>
      </c>
      <c r="AD104" s="298">
        <f>AB104-AC104</f>
        <v>0</v>
      </c>
      <c r="AE104" s="296">
        <f>T6_CAF_LOTS/(1+T6_CAF_TX_TVA)</f>
        <v>0</v>
      </c>
      <c r="AF104" s="297">
        <f>IF(T6_NBLOTS&lt;&gt;0,$O104*T6_CAF_POURC/T6_NBLOTS,$O104*T6_CAF_POURC)</f>
        <v>0</v>
      </c>
      <c r="AG104" s="298">
        <f>AE104-AF104</f>
        <v>0</v>
      </c>
      <c r="BF104" s="166"/>
      <c r="BG104" s="166"/>
      <c r="BH104" s="167"/>
      <c r="BM104" s="168">
        <f ca="1">IF(OFFSET(BM$168,0,-DEC_TVA-DEC_APF)&lt;&gt;0,(OFFSET(BM$123,0,-DEC_TVA)-OFFSET(BM$123,0,-DEC_TVA)/(1+T5_CAF_TX_TVA))-(T5_TVADED_LOTS*OFFSET(BM$168,0,-DEC_TVA-DEC_APF)),0)</f>
        <v>0</v>
      </c>
      <c r="BN104" s="168">
        <f ca="1">IF(OFFSET(BN$168,0,-DEC_TVA-DEC_APF)&lt;&gt;0,(OFFSET(BN$123,0,-DEC_TVA)-OFFSET(BN$123,0,-DEC_TVA)/(1+T5_CAF_TX_TVA))-(T5_TVADED_LOTS*OFFSET(BN$168,0,-DEC_TVA-DEC_APF)),0)</f>
        <v>0</v>
      </c>
      <c r="BO104" s="168"/>
      <c r="BP104" s="168"/>
      <c r="BQ104" s="168"/>
      <c r="BR104" s="168"/>
      <c r="BS104" s="168"/>
      <c r="BT104" s="168"/>
      <c r="BU104" s="168"/>
      <c r="BV104" s="168"/>
      <c r="BW104" s="168"/>
      <c r="BX104" s="168"/>
      <c r="BY104" s="168"/>
      <c r="BZ104" s="168"/>
      <c r="CA104" s="168"/>
      <c r="CB104" s="168"/>
      <c r="CC104" s="168"/>
      <c r="CD104" s="168"/>
      <c r="CE104" s="168"/>
      <c r="CF104" s="168"/>
      <c r="CG104" s="168"/>
      <c r="CH104" s="168"/>
      <c r="CI104" s="168"/>
      <c r="CJ104" s="168"/>
      <c r="CK104" s="168"/>
      <c r="CL104" s="168"/>
      <c r="CM104" s="168"/>
      <c r="CN104" s="168"/>
      <c r="CO104" s="168"/>
      <c r="CP104" s="168"/>
      <c r="CQ104" s="168"/>
      <c r="CR104" s="168"/>
      <c r="CS104" s="168"/>
      <c r="CT104" s="168"/>
      <c r="CU104" s="168"/>
      <c r="CV104" s="168"/>
      <c r="CW104" s="168"/>
      <c r="CX104" s="168"/>
      <c r="CY104" s="168"/>
      <c r="CZ104" s="168"/>
      <c r="DA104" s="168"/>
      <c r="DB104" s="168"/>
      <c r="DC104" s="168"/>
      <c r="DD104" s="168"/>
      <c r="DE104" s="168"/>
      <c r="DF104" s="168"/>
      <c r="DG104" s="168"/>
      <c r="DH104" s="168"/>
      <c r="DI104" s="168"/>
      <c r="DJ104" s="168"/>
      <c r="DK104" s="168"/>
      <c r="DL104" s="168"/>
      <c r="DM104" s="168"/>
      <c r="DN104" s="168"/>
      <c r="DO104" s="168"/>
      <c r="DP104" s="168"/>
      <c r="DQ104" s="168"/>
      <c r="DR104" s="168"/>
      <c r="DS104" s="168"/>
      <c r="DT104" s="168"/>
      <c r="DU104" s="168"/>
      <c r="DV104" s="168"/>
      <c r="DW104" s="168"/>
      <c r="DX104" s="168"/>
      <c r="DY104" s="168"/>
      <c r="DZ104" s="168"/>
      <c r="EA104" s="168"/>
      <c r="EB104" s="168"/>
      <c r="EC104" s="168"/>
      <c r="ED104" s="168"/>
      <c r="EE104" s="168"/>
      <c r="EF104" s="168"/>
      <c r="EG104" s="168"/>
      <c r="EH104" s="168"/>
      <c r="EI104" s="168"/>
      <c r="EJ104" s="168"/>
      <c r="EK104" s="168"/>
      <c r="EL104" s="168"/>
      <c r="EM104" s="168"/>
      <c r="EN104" s="168"/>
      <c r="EO104" s="168"/>
      <c r="EP104" s="168"/>
      <c r="EQ104" s="168"/>
      <c r="ER104" s="168"/>
      <c r="ES104" s="168"/>
      <c r="ET104" s="168"/>
      <c r="EU104" s="168"/>
      <c r="EV104" s="168"/>
      <c r="EW104" s="168"/>
      <c r="EX104" s="168"/>
      <c r="EY104" s="168"/>
      <c r="EZ104" s="168"/>
      <c r="FA104" s="168"/>
      <c r="FB104" s="168"/>
      <c r="FC104" s="168"/>
      <c r="FD104" s="168"/>
      <c r="FE104" s="168"/>
      <c r="FF104" s="168"/>
      <c r="FG104" s="168"/>
      <c r="FH104" s="168"/>
      <c r="FI104" s="168"/>
      <c r="FJ104" s="168"/>
      <c r="FK104" s="168"/>
      <c r="FL104" s="168"/>
      <c r="FM104" s="168"/>
      <c r="FN104" s="168"/>
      <c r="FO104" s="168"/>
      <c r="FP104" s="168"/>
      <c r="FQ104" s="168"/>
      <c r="FR104" s="168"/>
      <c r="FS104" s="168"/>
      <c r="FT104" s="168"/>
      <c r="FU104" s="168"/>
      <c r="FV104" s="168"/>
      <c r="FW104" s="168"/>
      <c r="FX104" s="168"/>
      <c r="FY104" s="168"/>
      <c r="FZ104" s="168"/>
      <c r="GA104" s="168"/>
      <c r="GB104" s="168"/>
      <c r="GC104" s="168"/>
    </row>
    <row r="105" spans="1:185">
      <c r="A105" s="155"/>
      <c r="B105" s="290" t="s">
        <v>59</v>
      </c>
      <c r="N105" s="132"/>
      <c r="BF105" s="166"/>
      <c r="BG105" s="166"/>
      <c r="BH105" s="167"/>
      <c r="BM105" s="168">
        <f ca="1">IF(OFFSET(BM$172,0,-DEC_TVA-DEC_APF)&lt;&gt;0,(OFFSET(BM$125,0,-DEC_TVA)-OFFSET(BM$125,0,-DEC_TVA)/(1+T6_CAF_TX_TVA))-(T6_TVADED_LOTS*OFFSET(BM$172,0,-DEC_TVA-DEC_APF)),0)</f>
        <v>0</v>
      </c>
      <c r="BN105" s="168">
        <f ca="1">IF(OFFSET(BN$172,0,-DEC_TVA-DEC_APF)&lt;&gt;0,(OFFSET(BN$125,0,-DEC_TVA)-OFFSET(BN$125,0,-DEC_TVA)/(1+T6_CAF_TX_TVA))-(T6_TVADED_LOTS*OFFSET(BN$172,0,-DEC_TVA-DEC_APF)),0)</f>
        <v>0</v>
      </c>
      <c r="BO105" s="168"/>
      <c r="BP105" s="168"/>
      <c r="BQ105" s="168"/>
      <c r="BR105" s="168"/>
      <c r="BS105" s="168"/>
      <c r="BT105" s="168"/>
      <c r="BU105" s="168"/>
      <c r="BV105" s="168"/>
      <c r="BW105" s="168"/>
      <c r="BX105" s="168"/>
      <c r="BY105" s="168"/>
      <c r="BZ105" s="168"/>
      <c r="CA105" s="168"/>
      <c r="CB105" s="168"/>
      <c r="CC105" s="168"/>
      <c r="CD105" s="168"/>
      <c r="CE105" s="168"/>
      <c r="CF105" s="168"/>
      <c r="CG105" s="168"/>
      <c r="CH105" s="168"/>
      <c r="CI105" s="168"/>
      <c r="CJ105" s="168"/>
      <c r="CK105" s="168"/>
      <c r="CL105" s="168"/>
      <c r="CM105" s="168"/>
      <c r="CN105" s="168"/>
      <c r="CO105" s="168"/>
      <c r="CP105" s="168"/>
      <c r="CQ105" s="168"/>
      <c r="CR105" s="168"/>
      <c r="CS105" s="168"/>
      <c r="CT105" s="168"/>
      <c r="CU105" s="168"/>
      <c r="CV105" s="168"/>
      <c r="CW105" s="168"/>
      <c r="CX105" s="168"/>
      <c r="CY105" s="168"/>
      <c r="CZ105" s="168"/>
      <c r="DA105" s="168"/>
      <c r="DB105" s="168"/>
      <c r="DC105" s="168"/>
      <c r="DD105" s="168"/>
      <c r="DE105" s="168"/>
      <c r="DF105" s="168"/>
      <c r="DG105" s="168"/>
      <c r="DH105" s="168"/>
      <c r="DI105" s="168"/>
      <c r="DJ105" s="168"/>
      <c r="DK105" s="168"/>
      <c r="DL105" s="168"/>
      <c r="DM105" s="168"/>
      <c r="DN105" s="168"/>
      <c r="DO105" s="168"/>
      <c r="DP105" s="168"/>
      <c r="DQ105" s="168"/>
      <c r="DR105" s="168"/>
      <c r="DS105" s="168"/>
      <c r="DT105" s="168"/>
      <c r="DU105" s="168"/>
      <c r="DV105" s="168"/>
      <c r="DW105" s="168"/>
      <c r="DX105" s="168"/>
      <c r="DY105" s="168"/>
      <c r="DZ105" s="168"/>
      <c r="EA105" s="168"/>
      <c r="EB105" s="168"/>
      <c r="EC105" s="168"/>
      <c r="ED105" s="168"/>
      <c r="EE105" s="168"/>
      <c r="EF105" s="168"/>
      <c r="EG105" s="168"/>
      <c r="EH105" s="168"/>
      <c r="EI105" s="168"/>
      <c r="EJ105" s="168"/>
      <c r="EK105" s="168"/>
      <c r="EL105" s="168"/>
      <c r="EM105" s="168"/>
      <c r="EN105" s="168"/>
      <c r="EO105" s="168"/>
      <c r="EP105" s="168"/>
      <c r="EQ105" s="168"/>
      <c r="ER105" s="168"/>
      <c r="ES105" s="168"/>
      <c r="ET105" s="168"/>
      <c r="EU105" s="168"/>
      <c r="EV105" s="168"/>
      <c r="EW105" s="168"/>
      <c r="EX105" s="168"/>
      <c r="EY105" s="168"/>
      <c r="EZ105" s="168"/>
      <c r="FA105" s="168"/>
      <c r="FB105" s="168"/>
      <c r="FC105" s="168"/>
      <c r="FD105" s="168"/>
      <c r="FE105" s="168"/>
      <c r="FF105" s="168"/>
      <c r="FG105" s="168"/>
      <c r="FH105" s="168"/>
      <c r="FI105" s="168"/>
      <c r="FJ105" s="168"/>
      <c r="FK105" s="168"/>
      <c r="FL105" s="168"/>
      <c r="FM105" s="168"/>
      <c r="FN105" s="168"/>
      <c r="FO105" s="168"/>
      <c r="FP105" s="168"/>
      <c r="FQ105" s="168"/>
      <c r="FR105" s="168"/>
      <c r="FS105" s="168"/>
      <c r="FT105" s="168"/>
      <c r="FU105" s="168"/>
      <c r="FV105" s="168"/>
      <c r="FW105" s="168"/>
      <c r="FX105" s="168"/>
      <c r="FY105" s="168"/>
      <c r="FZ105" s="168"/>
      <c r="GA105" s="168"/>
      <c r="GB105" s="168"/>
      <c r="GC105" s="168"/>
    </row>
    <row r="106" spans="1:185" ht="13.8" thickBot="1">
      <c r="A106" s="175" t="s">
        <v>91</v>
      </c>
      <c r="B106" s="176"/>
      <c r="N106" s="132"/>
      <c r="BD106" s="131" t="s">
        <v>226</v>
      </c>
      <c r="BF106" s="166">
        <f>SUM(BF100:BF105)</f>
        <v>0</v>
      </c>
      <c r="BG106" s="166">
        <f>SUM(BG100:BG105)</f>
        <v>0</v>
      </c>
      <c r="BH106" s="166">
        <f>SUM(BH100:BH105)</f>
        <v>0</v>
      </c>
      <c r="BM106" s="168" t="e">
        <f ca="1">IF(SUM(BM100:BM105)&gt;0,SUM(BM100:BM105),IF(BM3&gt;=Date_Dernier_Encai+6,SUM(BM100:BM105),0))</f>
        <v>#VALUE!</v>
      </c>
      <c r="BN106" s="168" t="e">
        <f ca="1">IF(SUM(BN100:BN105)&gt;0,SUM(BN100:BN105),IF(BN3&gt;=Date_Dernier_Encai+6,SUM(BN100:BN105),0))</f>
        <v>#VALUE!</v>
      </c>
      <c r="BO106" s="168"/>
      <c r="BP106" s="168"/>
      <c r="BQ106" s="168"/>
      <c r="BR106" s="168"/>
      <c r="BS106" s="168"/>
      <c r="BT106" s="168"/>
      <c r="BU106" s="168"/>
      <c r="BV106" s="168"/>
      <c r="BW106" s="168"/>
      <c r="BX106" s="168"/>
      <c r="BY106" s="168"/>
      <c r="BZ106" s="168"/>
      <c r="CA106" s="168"/>
      <c r="CB106" s="168"/>
      <c r="CC106" s="168"/>
      <c r="CD106" s="168"/>
      <c r="CE106" s="168"/>
      <c r="CF106" s="168"/>
      <c r="CG106" s="168"/>
      <c r="CH106" s="168"/>
      <c r="CI106" s="168"/>
      <c r="CJ106" s="168"/>
      <c r="CK106" s="168"/>
      <c r="CL106" s="168"/>
      <c r="CM106" s="168"/>
      <c r="CN106" s="168"/>
      <c r="CO106" s="168"/>
      <c r="CP106" s="168"/>
      <c r="CQ106" s="168"/>
      <c r="CR106" s="168"/>
      <c r="CS106" s="168"/>
      <c r="CT106" s="168"/>
      <c r="CU106" s="168"/>
      <c r="CV106" s="168"/>
      <c r="CW106" s="168"/>
      <c r="CX106" s="168"/>
      <c r="CY106" s="168"/>
      <c r="CZ106" s="168"/>
      <c r="DA106" s="168"/>
      <c r="DB106" s="168"/>
      <c r="DC106" s="168"/>
      <c r="DD106" s="168"/>
      <c r="DE106" s="168"/>
      <c r="DF106" s="168"/>
      <c r="DG106" s="168"/>
      <c r="DH106" s="168"/>
      <c r="DI106" s="168"/>
      <c r="DJ106" s="168"/>
      <c r="DK106" s="168"/>
      <c r="DL106" s="168"/>
      <c r="DM106" s="168"/>
      <c r="DN106" s="168"/>
      <c r="DO106" s="168"/>
      <c r="DP106" s="168"/>
      <c r="DQ106" s="168"/>
      <c r="DR106" s="168"/>
      <c r="DS106" s="168"/>
      <c r="DT106" s="168"/>
      <c r="DU106" s="168"/>
      <c r="DV106" s="168"/>
      <c r="DW106" s="168"/>
      <c r="DX106" s="168"/>
      <c r="DY106" s="168"/>
      <c r="DZ106" s="168"/>
      <c r="EA106" s="168"/>
      <c r="EB106" s="168"/>
      <c r="EC106" s="168"/>
      <c r="ED106" s="168"/>
      <c r="EE106" s="168"/>
      <c r="EF106" s="168"/>
      <c r="EG106" s="168"/>
      <c r="EH106" s="168"/>
      <c r="EI106" s="168"/>
      <c r="EJ106" s="168"/>
      <c r="EK106" s="168"/>
      <c r="EL106" s="168"/>
      <c r="EM106" s="168"/>
      <c r="EN106" s="168"/>
      <c r="EO106" s="168"/>
      <c r="EP106" s="168"/>
      <c r="EQ106" s="168"/>
      <c r="ER106" s="168"/>
      <c r="ES106" s="168"/>
      <c r="ET106" s="168"/>
      <c r="EU106" s="168"/>
      <c r="EV106" s="168"/>
      <c r="EW106" s="168"/>
      <c r="EX106" s="168"/>
      <c r="EY106" s="168"/>
      <c r="EZ106" s="168"/>
      <c r="FA106" s="168"/>
      <c r="FB106" s="168"/>
      <c r="FC106" s="168"/>
      <c r="FD106" s="168"/>
      <c r="FE106" s="168"/>
      <c r="FF106" s="168"/>
      <c r="FG106" s="168"/>
      <c r="FH106" s="168"/>
      <c r="FI106" s="168"/>
      <c r="FJ106" s="168"/>
      <c r="FK106" s="168"/>
      <c r="FL106" s="168"/>
      <c r="FM106" s="168"/>
      <c r="FN106" s="168"/>
      <c r="FO106" s="168"/>
      <c r="FP106" s="168"/>
      <c r="FQ106" s="168"/>
      <c r="FR106" s="168"/>
      <c r="FS106" s="168"/>
      <c r="FT106" s="168"/>
      <c r="FU106" s="168"/>
      <c r="FV106" s="168"/>
      <c r="FW106" s="168"/>
      <c r="FX106" s="168"/>
      <c r="FY106" s="168"/>
      <c r="FZ106" s="168"/>
      <c r="GA106" s="168"/>
      <c r="GB106" s="168"/>
      <c r="GC106" s="168"/>
    </row>
    <row r="107" spans="1:185">
      <c r="A107" s="281"/>
      <c r="B107" s="165"/>
      <c r="F107" s="210" t="s">
        <v>101</v>
      </c>
      <c r="G107" s="301"/>
      <c r="H107" s="301"/>
      <c r="I107" s="302"/>
      <c r="J107" s="212"/>
      <c r="K107" s="284">
        <v>3</v>
      </c>
      <c r="N107" s="132"/>
      <c r="BF107" s="166"/>
      <c r="BG107" s="166"/>
      <c r="BH107" s="167"/>
      <c r="BM107" s="153"/>
      <c r="BN107" s="154"/>
      <c r="BO107" s="154"/>
      <c r="BP107" s="154"/>
      <c r="BQ107" s="154"/>
      <c r="BR107" s="154"/>
      <c r="BS107" s="154"/>
      <c r="BT107" s="154"/>
      <c r="BU107" s="154"/>
      <c r="BV107" s="154"/>
      <c r="BW107" s="154"/>
      <c r="BX107" s="154"/>
      <c r="BY107" s="154"/>
      <c r="BZ107" s="154"/>
      <c r="CA107" s="154"/>
      <c r="CB107" s="154"/>
      <c r="CC107" s="154"/>
      <c r="CD107" s="154"/>
      <c r="CE107" s="154"/>
      <c r="CF107" s="154"/>
      <c r="CG107" s="154"/>
      <c r="CH107" s="154"/>
      <c r="CI107" s="154"/>
      <c r="CJ107" s="154"/>
      <c r="CK107" s="154"/>
      <c r="CL107" s="154"/>
      <c r="CM107" s="154"/>
      <c r="CN107" s="154"/>
      <c r="CO107" s="154"/>
      <c r="CP107" s="154"/>
      <c r="CQ107" s="154"/>
      <c r="CR107" s="154"/>
      <c r="CS107" s="154"/>
      <c r="CT107" s="154"/>
      <c r="CU107" s="154"/>
      <c r="CV107" s="154"/>
      <c r="CW107" s="154"/>
      <c r="CX107" s="154"/>
      <c r="CY107" s="154"/>
      <c r="CZ107" s="154"/>
      <c r="DA107" s="154"/>
      <c r="DB107" s="154"/>
      <c r="DC107" s="154"/>
      <c r="DD107" s="154"/>
      <c r="DE107" s="154"/>
      <c r="DF107" s="154"/>
      <c r="DG107" s="154"/>
      <c r="DH107" s="154"/>
      <c r="DI107" s="154"/>
      <c r="DJ107" s="154"/>
      <c r="DK107" s="154"/>
      <c r="DL107" s="154"/>
      <c r="DM107" s="154"/>
      <c r="DN107" s="154"/>
      <c r="DO107" s="154"/>
      <c r="DP107" s="154"/>
      <c r="DQ107" s="154"/>
      <c r="DR107" s="154"/>
      <c r="DS107" s="154"/>
      <c r="DT107" s="154"/>
      <c r="DU107" s="154"/>
      <c r="DV107" s="154"/>
      <c r="DW107" s="154"/>
      <c r="DX107" s="154"/>
      <c r="DY107" s="154"/>
      <c r="DZ107" s="154"/>
      <c r="EA107" s="154"/>
      <c r="EB107" s="154"/>
      <c r="EC107" s="154"/>
      <c r="ED107" s="154"/>
      <c r="EE107" s="154"/>
      <c r="EF107" s="154"/>
      <c r="EG107" s="154"/>
      <c r="EH107" s="154"/>
      <c r="EI107" s="154"/>
      <c r="EJ107" s="154"/>
      <c r="EK107" s="154"/>
      <c r="EL107" s="154"/>
      <c r="EM107" s="154"/>
      <c r="EN107" s="154"/>
      <c r="EO107" s="154"/>
      <c r="EP107" s="154"/>
      <c r="EQ107" s="154"/>
      <c r="ER107" s="154"/>
      <c r="ES107" s="154"/>
      <c r="ET107" s="154"/>
      <c r="EU107" s="154"/>
      <c r="EV107" s="154"/>
      <c r="EW107" s="154"/>
      <c r="EX107" s="154"/>
      <c r="EY107" s="154"/>
      <c r="EZ107" s="154"/>
      <c r="FA107" s="154"/>
      <c r="FB107" s="154"/>
      <c r="FC107" s="154"/>
      <c r="FD107" s="154"/>
      <c r="FE107" s="154"/>
      <c r="FF107" s="154"/>
      <c r="FG107" s="154"/>
      <c r="FH107" s="154"/>
      <c r="FI107" s="154"/>
      <c r="FJ107" s="154"/>
      <c r="FK107" s="154"/>
      <c r="FL107" s="154"/>
      <c r="FM107" s="154"/>
      <c r="FN107" s="154"/>
      <c r="FO107" s="154"/>
      <c r="FP107" s="154"/>
      <c r="FQ107" s="154"/>
      <c r="FR107" s="154"/>
      <c r="FS107" s="154"/>
      <c r="FT107" s="154"/>
      <c r="FU107" s="154"/>
      <c r="FV107" s="154"/>
      <c r="FW107" s="154"/>
      <c r="FX107" s="154"/>
      <c r="FY107" s="154"/>
      <c r="FZ107" s="154"/>
      <c r="GA107" s="154"/>
      <c r="GB107" s="154"/>
      <c r="GC107" s="154"/>
    </row>
    <row r="108" spans="1:185">
      <c r="A108" s="155" t="s">
        <v>102</v>
      </c>
      <c r="B108" s="156"/>
      <c r="F108" s="210" t="s">
        <v>103</v>
      </c>
      <c r="G108" s="301"/>
      <c r="H108" s="301"/>
      <c r="I108" s="302"/>
      <c r="J108" s="212"/>
      <c r="K108" s="284">
        <v>4</v>
      </c>
      <c r="N108" s="132"/>
      <c r="BF108" s="166">
        <v>0</v>
      </c>
      <c r="BG108" s="166">
        <f>MARGE</f>
        <v>-6</v>
      </c>
      <c r="BH108" s="167">
        <f>BG108-BF108</f>
        <v>-6</v>
      </c>
      <c r="BM108" s="168" t="e">
        <f ca="1">IF(MONTH(DATES)=MOIS_DIV,IF(OFFSET(BM$3,0,-MOIS_DIV)&gt;=T1_LI,OFFSET(BM152,0,-MOIS_DIV)*T1_MARGE_LOTS,0)+IF(OFFSET(BM$3,0,-MOIS_DIV)&gt;=T2_LI,OFFSET(BM156,0,-MOIS_DIV)*T2_MARGE_LOTS,0)+IF(OFFSET(BM$3,0,-MOIS_DIV)&gt;=T3_LI,OFFSET(BM160,0,-MOIS_DIV)*T3_MARGE_LOTS,0)+IF(OFFSET(BM$3,0,-MOIS_DIV)&gt;=T4_LI,OFFSET(BM164,0,-MOIS_DIV)*T4_MARGE_LOTS,0)+IF(OFFSET(BM$3,0,-MOIS_DIV)&gt;=T5_LI,OFFSET(BM168,0,-MOIS_DIV)*T5_MARGE_LOTS,0)+IF(OFFSET(BM$3,0,-MOIS_DIV)&gt;=T6_LI,OFFSET(BM172,0,-MOIS_DIV)*T6_MARGE_LOTS,0),BL108)</f>
        <v>#VALUE!</v>
      </c>
      <c r="BN108" s="169" t="e">
        <f ca="1">IF(MONTH(DATES)=MOIS_DIV,IF(OFFSET(BN$3,0,-MOIS_DIV)&gt;=T1_LI,OFFSET(BN152,0,-MOIS_DIV)*T1_MARGE_LOTS,0)+IF(OFFSET(BN$3,0,-MOIS_DIV)&gt;=T2_LI,OFFSET(BN156,0,-MOIS_DIV)*T2_MARGE_LOTS,0)+IF(OFFSET(BN$3,0,-MOIS_DIV)&gt;=T3_LI,OFFSET(BN160,0,-MOIS_DIV)*T3_MARGE_LOTS,0)+IF(OFFSET(BN$3,0,-MOIS_DIV)&gt;=T4_LI,OFFSET(BN164,0,-MOIS_DIV)*T4_MARGE_LOTS,0)+IF(OFFSET(BN$3,0,-MOIS_DIV)&gt;=T5_LI,OFFSET(BN168,0,-MOIS_DIV)*T5_MARGE_LOTS,0)+IF(OFFSET(BN$3,0,-MOIS_DIV)&gt;=T6_LI,OFFSET(BN172,0,-MOIS_DIV)*T6_MARGE_LOTS,0),BM108)</f>
        <v>#VALUE!</v>
      </c>
      <c r="BO108" s="169"/>
      <c r="BP108" s="169"/>
      <c r="BQ108" s="169"/>
      <c r="BR108" s="169"/>
      <c r="BS108" s="169"/>
      <c r="BT108" s="169"/>
      <c r="BU108" s="169"/>
      <c r="BV108" s="169"/>
      <c r="BW108" s="169"/>
      <c r="BX108" s="169"/>
      <c r="BY108" s="169"/>
      <c r="BZ108" s="169"/>
      <c r="CA108" s="169"/>
      <c r="CB108" s="169"/>
      <c r="CC108" s="169"/>
      <c r="CD108" s="169"/>
      <c r="CE108" s="169"/>
      <c r="CF108" s="169"/>
      <c r="CG108" s="169"/>
      <c r="CH108" s="169"/>
      <c r="CI108" s="169"/>
      <c r="CJ108" s="169"/>
      <c r="CK108" s="169"/>
      <c r="CL108" s="169"/>
      <c r="CM108" s="169"/>
      <c r="CN108" s="169"/>
      <c r="CO108" s="169"/>
      <c r="CP108" s="169"/>
      <c r="CQ108" s="169"/>
      <c r="CR108" s="169"/>
      <c r="CS108" s="169"/>
      <c r="CT108" s="169"/>
      <c r="CU108" s="169"/>
      <c r="CV108" s="169"/>
      <c r="CW108" s="169"/>
      <c r="CX108" s="169"/>
      <c r="CY108" s="169"/>
      <c r="CZ108" s="169"/>
      <c r="DA108" s="169"/>
      <c r="DB108" s="169"/>
      <c r="DC108" s="169"/>
      <c r="DD108" s="169"/>
      <c r="DE108" s="169"/>
      <c r="DF108" s="169"/>
      <c r="DG108" s="169"/>
      <c r="DH108" s="169"/>
      <c r="DI108" s="169"/>
      <c r="DJ108" s="169"/>
      <c r="DK108" s="169"/>
      <c r="DL108" s="169"/>
      <c r="DM108" s="169"/>
      <c r="DN108" s="169"/>
      <c r="DO108" s="169"/>
      <c r="DP108" s="169"/>
      <c r="DQ108" s="169"/>
      <c r="DR108" s="169"/>
      <c r="DS108" s="169"/>
      <c r="DT108" s="169"/>
      <c r="DU108" s="169"/>
      <c r="DV108" s="169"/>
      <c r="DW108" s="169"/>
      <c r="DX108" s="169"/>
      <c r="DY108" s="169"/>
      <c r="DZ108" s="169"/>
      <c r="EA108" s="169"/>
      <c r="EB108" s="169"/>
      <c r="EC108" s="169"/>
      <c r="ED108" s="169"/>
      <c r="EE108" s="169"/>
      <c r="EF108" s="169"/>
      <c r="EG108" s="169"/>
      <c r="EH108" s="169"/>
      <c r="EI108" s="169"/>
      <c r="EJ108" s="169"/>
      <c r="EK108" s="169"/>
      <c r="EL108" s="169"/>
      <c r="EM108" s="169"/>
      <c r="EN108" s="169"/>
      <c r="EO108" s="169"/>
      <c r="EP108" s="169"/>
      <c r="EQ108" s="169"/>
      <c r="ER108" s="169"/>
      <c r="ES108" s="169"/>
      <c r="ET108" s="169"/>
      <c r="EU108" s="169"/>
      <c r="EV108" s="169"/>
      <c r="EW108" s="169"/>
      <c r="EX108" s="169"/>
      <c r="EY108" s="169"/>
      <c r="EZ108" s="169"/>
      <c r="FA108" s="169"/>
      <c r="FB108" s="169"/>
      <c r="FC108" s="169"/>
      <c r="FD108" s="169"/>
      <c r="FE108" s="169"/>
      <c r="FF108" s="169"/>
      <c r="FG108" s="169"/>
      <c r="FH108" s="169"/>
      <c r="FI108" s="169"/>
      <c r="FJ108" s="169"/>
      <c r="FK108" s="169"/>
      <c r="FL108" s="169"/>
      <c r="FM108" s="169"/>
      <c r="FN108" s="169"/>
      <c r="FO108" s="169"/>
      <c r="FP108" s="169"/>
      <c r="FQ108" s="169"/>
      <c r="FR108" s="169"/>
      <c r="FS108" s="169"/>
      <c r="FT108" s="169"/>
      <c r="FU108" s="169"/>
      <c r="FV108" s="169"/>
      <c r="FW108" s="169"/>
      <c r="FX108" s="169"/>
      <c r="FY108" s="169"/>
      <c r="FZ108" s="169"/>
      <c r="GA108" s="169"/>
      <c r="GB108" s="169"/>
      <c r="GC108" s="169"/>
    </row>
    <row r="109" spans="1:185">
      <c r="A109" s="155"/>
      <c r="B109" s="156"/>
      <c r="F109" s="210" t="s">
        <v>104</v>
      </c>
      <c r="G109" s="301"/>
      <c r="H109" s="301"/>
      <c r="I109" s="302"/>
      <c r="J109" s="212"/>
      <c r="K109" s="284">
        <v>1</v>
      </c>
      <c r="N109" s="132"/>
      <c r="BF109" s="166"/>
      <c r="BG109" s="166"/>
      <c r="BH109" s="167"/>
      <c r="BM109" s="188"/>
      <c r="BN109" s="189"/>
      <c r="BO109" s="189"/>
      <c r="BP109" s="189"/>
      <c r="BQ109" s="189"/>
      <c r="BR109" s="189"/>
      <c r="BS109" s="189"/>
      <c r="BT109" s="189"/>
      <c r="BU109" s="189"/>
      <c r="BV109" s="189"/>
      <c r="BW109" s="189"/>
      <c r="BX109" s="189"/>
      <c r="BY109" s="189"/>
      <c r="BZ109" s="189"/>
      <c r="CA109" s="189"/>
      <c r="CB109" s="189"/>
      <c r="CC109" s="189"/>
      <c r="CD109" s="189"/>
      <c r="CE109" s="189"/>
      <c r="CF109" s="189"/>
      <c r="CG109" s="189"/>
      <c r="CH109" s="189"/>
      <c r="CI109" s="189"/>
      <c r="CJ109" s="189"/>
      <c r="CK109" s="189"/>
      <c r="CL109" s="189"/>
      <c r="CM109" s="189"/>
      <c r="CN109" s="189"/>
      <c r="CO109" s="189"/>
      <c r="CP109" s="189"/>
      <c r="CQ109" s="189"/>
      <c r="CR109" s="189"/>
      <c r="CS109" s="189"/>
      <c r="CT109" s="189"/>
      <c r="CU109" s="189"/>
      <c r="CV109" s="189"/>
      <c r="CW109" s="189"/>
      <c r="CX109" s="189"/>
      <c r="CY109" s="189"/>
      <c r="CZ109" s="189"/>
      <c r="DA109" s="189"/>
      <c r="DB109" s="189"/>
      <c r="DC109" s="189"/>
      <c r="DD109" s="189"/>
      <c r="DE109" s="189"/>
      <c r="DF109" s="189"/>
      <c r="DG109" s="189"/>
      <c r="DH109" s="189"/>
      <c r="DI109" s="189"/>
      <c r="DJ109" s="189"/>
      <c r="DK109" s="189"/>
      <c r="DL109" s="189"/>
      <c r="DM109" s="189"/>
      <c r="DN109" s="189"/>
      <c r="DO109" s="189"/>
      <c r="DP109" s="189"/>
      <c r="DQ109" s="189"/>
      <c r="DR109" s="189"/>
      <c r="DS109" s="189"/>
      <c r="DT109" s="189"/>
      <c r="DU109" s="189"/>
      <c r="DV109" s="189"/>
      <c r="DW109" s="189"/>
      <c r="DX109" s="189"/>
      <c r="DY109" s="189"/>
      <c r="DZ109" s="189"/>
      <c r="EA109" s="189"/>
      <c r="EB109" s="189"/>
      <c r="EC109" s="189"/>
      <c r="ED109" s="189"/>
      <c r="EE109" s="189"/>
      <c r="EF109" s="189"/>
      <c r="EG109" s="189"/>
      <c r="EH109" s="189"/>
      <c r="EI109" s="189"/>
      <c r="EJ109" s="189"/>
      <c r="EK109" s="189"/>
      <c r="EL109" s="189"/>
      <c r="EM109" s="189"/>
      <c r="EN109" s="189"/>
      <c r="EO109" s="189"/>
      <c r="EP109" s="189"/>
      <c r="EQ109" s="189"/>
      <c r="ER109" s="189"/>
      <c r="ES109" s="189"/>
      <c r="ET109" s="189"/>
      <c r="EU109" s="189"/>
      <c r="EV109" s="189"/>
      <c r="EW109" s="189"/>
      <c r="EX109" s="189"/>
      <c r="EY109" s="189"/>
      <c r="EZ109" s="189"/>
      <c r="FA109" s="189"/>
      <c r="FB109" s="189"/>
      <c r="FC109" s="189"/>
      <c r="FD109" s="189"/>
      <c r="FE109" s="189"/>
      <c r="FF109" s="189"/>
      <c r="FG109" s="189"/>
      <c r="FH109" s="189"/>
      <c r="FI109" s="189"/>
      <c r="FJ109" s="189"/>
      <c r="FK109" s="189"/>
      <c r="FL109" s="189"/>
      <c r="FM109" s="189"/>
      <c r="FN109" s="189"/>
      <c r="FO109" s="189"/>
      <c r="FP109" s="189"/>
      <c r="FQ109" s="189"/>
      <c r="FR109" s="189"/>
      <c r="FS109" s="189"/>
      <c r="FT109" s="189"/>
      <c r="FU109" s="189"/>
      <c r="FV109" s="189"/>
      <c r="FW109" s="189"/>
      <c r="FX109" s="189"/>
      <c r="FY109" s="189"/>
      <c r="FZ109" s="189"/>
      <c r="GA109" s="189"/>
      <c r="GB109" s="189"/>
      <c r="GC109" s="189"/>
    </row>
    <row r="110" spans="1:185">
      <c r="A110" s="155"/>
      <c r="B110" s="156"/>
      <c r="F110" s="210" t="s">
        <v>105</v>
      </c>
      <c r="G110" s="301"/>
      <c r="H110" s="301"/>
      <c r="I110" s="302"/>
      <c r="J110" s="212"/>
      <c r="K110" s="284">
        <v>2</v>
      </c>
      <c r="M110" s="303"/>
      <c r="N110" s="304"/>
      <c r="O110" s="299"/>
      <c r="Q110" s="228"/>
      <c r="R110" s="228"/>
      <c r="T110" s="228"/>
      <c r="U110" s="228"/>
      <c r="W110" s="228"/>
      <c r="X110" s="228"/>
      <c r="Y110" s="228"/>
      <c r="BF110" s="166"/>
      <c r="BG110" s="166"/>
      <c r="BH110" s="167"/>
      <c r="BM110" s="168"/>
      <c r="BN110" s="169"/>
      <c r="BO110" s="169"/>
      <c r="BP110" s="169"/>
      <c r="BQ110" s="169"/>
      <c r="BR110" s="169"/>
      <c r="BS110" s="169"/>
      <c r="BT110" s="169"/>
      <c r="BU110" s="169"/>
      <c r="BV110" s="169"/>
      <c r="BW110" s="169"/>
      <c r="BX110" s="169"/>
      <c r="BY110" s="169"/>
      <c r="BZ110" s="169"/>
      <c r="CA110" s="169"/>
      <c r="CB110" s="169"/>
      <c r="CC110" s="169"/>
      <c r="CD110" s="169"/>
      <c r="CE110" s="169"/>
      <c r="CF110" s="169"/>
      <c r="CG110" s="169"/>
      <c r="CH110" s="169"/>
      <c r="CI110" s="169"/>
      <c r="CJ110" s="169"/>
      <c r="CK110" s="169"/>
      <c r="CL110" s="169"/>
      <c r="CM110" s="169"/>
      <c r="CN110" s="169"/>
      <c r="CO110" s="169"/>
      <c r="CP110" s="169"/>
      <c r="CQ110" s="169"/>
      <c r="CR110" s="169"/>
      <c r="CS110" s="169"/>
      <c r="CT110" s="169"/>
      <c r="CU110" s="169"/>
      <c r="CV110" s="169"/>
      <c r="CW110" s="169"/>
      <c r="CX110" s="169"/>
      <c r="CY110" s="169"/>
      <c r="CZ110" s="169"/>
      <c r="DA110" s="169"/>
      <c r="DB110" s="169"/>
      <c r="DC110" s="169"/>
      <c r="DD110" s="169"/>
      <c r="DE110" s="169"/>
      <c r="DF110" s="169"/>
      <c r="DG110" s="169"/>
      <c r="DH110" s="169"/>
      <c r="DI110" s="169"/>
      <c r="DJ110" s="169"/>
      <c r="DK110" s="169"/>
      <c r="DL110" s="169"/>
      <c r="DM110" s="169"/>
      <c r="DN110" s="169"/>
      <c r="DO110" s="169"/>
      <c r="DP110" s="169"/>
      <c r="DQ110" s="169"/>
      <c r="DR110" s="169"/>
      <c r="DS110" s="169"/>
      <c r="DT110" s="169"/>
      <c r="DU110" s="169"/>
      <c r="DV110" s="169"/>
      <c r="DW110" s="169"/>
      <c r="DX110" s="169"/>
      <c r="DY110" s="169"/>
      <c r="DZ110" s="169"/>
      <c r="EA110" s="169"/>
      <c r="EB110" s="169"/>
      <c r="EC110" s="169"/>
      <c r="ED110" s="169"/>
      <c r="EE110" s="169"/>
      <c r="EF110" s="169"/>
      <c r="EG110" s="169"/>
      <c r="EH110" s="169"/>
      <c r="EI110" s="169"/>
      <c r="EJ110" s="169"/>
      <c r="EK110" s="169"/>
      <c r="EL110" s="169"/>
      <c r="EM110" s="169"/>
      <c r="EN110" s="169"/>
      <c r="EO110" s="169"/>
      <c r="EP110" s="169"/>
      <c r="EQ110" s="169"/>
      <c r="ER110" s="169"/>
      <c r="ES110" s="169"/>
      <c r="ET110" s="169"/>
      <c r="EU110" s="169"/>
      <c r="EV110" s="169"/>
      <c r="EW110" s="169"/>
      <c r="EX110" s="169"/>
      <c r="EY110" s="169"/>
      <c r="EZ110" s="169"/>
      <c r="FA110" s="169"/>
      <c r="FB110" s="169"/>
      <c r="FC110" s="169"/>
      <c r="FD110" s="169"/>
      <c r="FE110" s="169"/>
      <c r="FF110" s="169"/>
      <c r="FG110" s="169"/>
      <c r="FH110" s="169"/>
      <c r="FI110" s="169"/>
      <c r="FJ110" s="169"/>
      <c r="FK110" s="169"/>
      <c r="FL110" s="169"/>
      <c r="FM110" s="169"/>
      <c r="FN110" s="169"/>
      <c r="FO110" s="169"/>
      <c r="FP110" s="169"/>
      <c r="FQ110" s="169"/>
      <c r="FR110" s="169"/>
      <c r="FS110" s="169"/>
      <c r="FT110" s="169"/>
      <c r="FU110" s="169"/>
      <c r="FV110" s="169"/>
      <c r="FW110" s="169"/>
      <c r="FX110" s="169"/>
      <c r="FY110" s="169"/>
      <c r="FZ110" s="169"/>
      <c r="GA110" s="169"/>
      <c r="GB110" s="169"/>
      <c r="GC110" s="169"/>
    </row>
    <row r="111" spans="1:185">
      <c r="A111" s="155" t="s">
        <v>106</v>
      </c>
      <c r="B111" s="156"/>
      <c r="F111" s="210" t="s">
        <v>107</v>
      </c>
      <c r="G111" s="301"/>
      <c r="H111" s="301"/>
      <c r="I111" s="302"/>
      <c r="J111" s="212"/>
      <c r="K111" s="284">
        <v>1</v>
      </c>
      <c r="O111" s="228"/>
      <c r="P111" s="305"/>
      <c r="BF111" s="166">
        <v>0</v>
      </c>
      <c r="BG111" s="166">
        <f>DIV_DR_COM</f>
        <v>0</v>
      </c>
      <c r="BH111" s="167">
        <f>BG111-BF111</f>
        <v>0</v>
      </c>
      <c r="BM111" s="168" t="e">
        <f ca="1">IF(MONTH(DATES)=MOIS_DIV,OFFSET(BM140,0,-MOIS_DIV+DEC_FF),BL111)</f>
        <v>#VALUE!</v>
      </c>
      <c r="BN111" s="169" t="e">
        <f ca="1">IF(MONTH(DATES)=MOIS_DIV,OFFSET(BN140,0,-MOIS_DIV+DEC_FF),BM111)</f>
        <v>#VALUE!</v>
      </c>
      <c r="BO111" s="169"/>
      <c r="BP111" s="169"/>
      <c r="BQ111" s="169"/>
      <c r="BR111" s="169"/>
      <c r="BS111" s="169"/>
      <c r="BT111" s="169"/>
      <c r="BU111" s="169"/>
      <c r="BV111" s="169"/>
      <c r="BW111" s="169"/>
      <c r="BX111" s="169"/>
      <c r="BY111" s="169"/>
      <c r="BZ111" s="169"/>
      <c r="CA111" s="169"/>
      <c r="CB111" s="169"/>
      <c r="CC111" s="169"/>
      <c r="CD111" s="169"/>
      <c r="CE111" s="169"/>
      <c r="CF111" s="169"/>
      <c r="CG111" s="169"/>
      <c r="CH111" s="169"/>
      <c r="CI111" s="169"/>
      <c r="CJ111" s="169"/>
      <c r="CK111" s="169"/>
      <c r="CL111" s="169"/>
      <c r="CM111" s="169"/>
      <c r="CN111" s="169"/>
      <c r="CO111" s="169"/>
      <c r="CP111" s="169"/>
      <c r="CQ111" s="169"/>
      <c r="CR111" s="169"/>
      <c r="CS111" s="169"/>
      <c r="CT111" s="169"/>
      <c r="CU111" s="169"/>
      <c r="CV111" s="169"/>
      <c r="CW111" s="169"/>
      <c r="CX111" s="169"/>
      <c r="CY111" s="169"/>
      <c r="CZ111" s="169"/>
      <c r="DA111" s="169"/>
      <c r="DB111" s="169"/>
      <c r="DC111" s="169"/>
      <c r="DD111" s="169"/>
      <c r="DE111" s="169"/>
      <c r="DF111" s="169"/>
      <c r="DG111" s="169"/>
      <c r="DH111" s="169"/>
      <c r="DI111" s="169"/>
      <c r="DJ111" s="169"/>
      <c r="DK111" s="169"/>
      <c r="DL111" s="169"/>
      <c r="DM111" s="169"/>
      <c r="DN111" s="169"/>
      <c r="DO111" s="169"/>
      <c r="DP111" s="169"/>
      <c r="DQ111" s="169"/>
      <c r="DR111" s="169"/>
      <c r="DS111" s="169"/>
      <c r="DT111" s="169"/>
      <c r="DU111" s="169"/>
      <c r="DV111" s="169"/>
      <c r="DW111" s="169"/>
      <c r="DX111" s="169"/>
      <c r="DY111" s="169"/>
      <c r="DZ111" s="169"/>
      <c r="EA111" s="169"/>
      <c r="EB111" s="169"/>
      <c r="EC111" s="169"/>
      <c r="ED111" s="169"/>
      <c r="EE111" s="169"/>
      <c r="EF111" s="169"/>
      <c r="EG111" s="169"/>
      <c r="EH111" s="169"/>
      <c r="EI111" s="169"/>
      <c r="EJ111" s="169"/>
      <c r="EK111" s="169"/>
      <c r="EL111" s="169"/>
      <c r="EM111" s="169"/>
      <c r="EN111" s="169"/>
      <c r="EO111" s="169"/>
      <c r="EP111" s="169"/>
      <c r="EQ111" s="169"/>
      <c r="ER111" s="169"/>
      <c r="ES111" s="169"/>
      <c r="ET111" s="169"/>
      <c r="EU111" s="169"/>
      <c r="EV111" s="169"/>
      <c r="EW111" s="169"/>
      <c r="EX111" s="169"/>
      <c r="EY111" s="169"/>
      <c r="EZ111" s="169"/>
      <c r="FA111" s="169"/>
      <c r="FB111" s="169"/>
      <c r="FC111" s="169"/>
      <c r="FD111" s="169"/>
      <c r="FE111" s="169"/>
      <c r="FF111" s="169"/>
      <c r="FG111" s="169"/>
      <c r="FH111" s="169"/>
      <c r="FI111" s="169"/>
      <c r="FJ111" s="169"/>
      <c r="FK111" s="169"/>
      <c r="FL111" s="169"/>
      <c r="FM111" s="169"/>
      <c r="FN111" s="169"/>
      <c r="FO111" s="169"/>
      <c r="FP111" s="169"/>
      <c r="FQ111" s="169"/>
      <c r="FR111" s="169"/>
      <c r="FS111" s="169"/>
      <c r="FT111" s="169"/>
      <c r="FU111" s="169"/>
      <c r="FV111" s="169"/>
      <c r="FW111" s="169"/>
      <c r="FX111" s="169"/>
      <c r="FY111" s="169"/>
      <c r="FZ111" s="169"/>
      <c r="GA111" s="169"/>
      <c r="GB111" s="169"/>
      <c r="GC111" s="169"/>
    </row>
    <row r="112" spans="1:185" ht="13.8" thickBot="1">
      <c r="A112" s="175"/>
      <c r="B112" s="176"/>
      <c r="F112" s="210" t="s">
        <v>108</v>
      </c>
      <c r="G112" s="301"/>
      <c r="H112" s="301"/>
      <c r="I112" s="302"/>
      <c r="J112" s="212"/>
      <c r="K112" s="284">
        <v>2</v>
      </c>
      <c r="BF112" s="166"/>
      <c r="BG112" s="166"/>
      <c r="BH112" s="167"/>
      <c r="BM112" s="188"/>
      <c r="BN112" s="189"/>
      <c r="BO112" s="189"/>
      <c r="BP112" s="189"/>
      <c r="BQ112" s="189"/>
      <c r="BR112" s="189"/>
      <c r="BS112" s="189"/>
      <c r="BT112" s="189"/>
      <c r="BU112" s="189"/>
      <c r="BV112" s="189"/>
      <c r="BW112" s="189"/>
      <c r="BX112" s="189"/>
      <c r="BY112" s="189"/>
      <c r="BZ112" s="189"/>
      <c r="CA112" s="189"/>
      <c r="CB112" s="189"/>
      <c r="CC112" s="189"/>
      <c r="CD112" s="189"/>
      <c r="CE112" s="189"/>
      <c r="CF112" s="189"/>
      <c r="CG112" s="189"/>
      <c r="CH112" s="189"/>
      <c r="CI112" s="189"/>
      <c r="CJ112" s="189"/>
      <c r="CK112" s="189"/>
      <c r="CL112" s="189"/>
      <c r="CM112" s="189"/>
      <c r="CN112" s="189"/>
      <c r="CO112" s="189"/>
      <c r="CP112" s="189"/>
      <c r="CQ112" s="189"/>
      <c r="CR112" s="189"/>
      <c r="CS112" s="189"/>
      <c r="CT112" s="189"/>
      <c r="CU112" s="189"/>
      <c r="CV112" s="189"/>
      <c r="CW112" s="189"/>
      <c r="CX112" s="189"/>
      <c r="CY112" s="189"/>
      <c r="CZ112" s="189"/>
      <c r="DA112" s="189"/>
      <c r="DB112" s="189"/>
      <c r="DC112" s="189"/>
      <c r="DD112" s="189"/>
      <c r="DE112" s="189"/>
      <c r="DF112" s="189"/>
      <c r="DG112" s="189"/>
      <c r="DH112" s="189"/>
      <c r="DI112" s="189"/>
      <c r="DJ112" s="189"/>
      <c r="DK112" s="189"/>
      <c r="DL112" s="189"/>
      <c r="DM112" s="189"/>
      <c r="DN112" s="189"/>
      <c r="DO112" s="189"/>
      <c r="DP112" s="189"/>
      <c r="DQ112" s="189"/>
      <c r="DR112" s="189"/>
      <c r="DS112" s="189"/>
      <c r="DT112" s="189"/>
      <c r="DU112" s="189"/>
      <c r="DV112" s="189"/>
      <c r="DW112" s="189"/>
      <c r="DX112" s="189"/>
      <c r="DY112" s="189"/>
      <c r="DZ112" s="189"/>
      <c r="EA112" s="189"/>
      <c r="EB112" s="189"/>
      <c r="EC112" s="189"/>
      <c r="ED112" s="189"/>
      <c r="EE112" s="189"/>
      <c r="EF112" s="189"/>
      <c r="EG112" s="189"/>
      <c r="EH112" s="189"/>
      <c r="EI112" s="189"/>
      <c r="EJ112" s="189"/>
      <c r="EK112" s="189"/>
      <c r="EL112" s="189"/>
      <c r="EM112" s="189"/>
      <c r="EN112" s="189"/>
      <c r="EO112" s="189"/>
      <c r="EP112" s="189"/>
      <c r="EQ112" s="189"/>
      <c r="ER112" s="189"/>
      <c r="ES112" s="189"/>
      <c r="ET112" s="189"/>
      <c r="EU112" s="189"/>
      <c r="EV112" s="189"/>
      <c r="EW112" s="189"/>
      <c r="EX112" s="189"/>
      <c r="EY112" s="189"/>
      <c r="EZ112" s="189"/>
      <c r="FA112" s="189"/>
      <c r="FB112" s="189"/>
      <c r="FC112" s="189"/>
      <c r="FD112" s="189"/>
      <c r="FE112" s="189"/>
      <c r="FF112" s="189"/>
      <c r="FG112" s="189"/>
      <c r="FH112" s="189"/>
      <c r="FI112" s="189"/>
      <c r="FJ112" s="189"/>
      <c r="FK112" s="189"/>
      <c r="FL112" s="189"/>
      <c r="FM112" s="189"/>
      <c r="FN112" s="189"/>
      <c r="FO112" s="189"/>
      <c r="FP112" s="189"/>
      <c r="FQ112" s="189"/>
      <c r="FR112" s="189"/>
      <c r="FS112" s="189"/>
      <c r="FT112" s="189"/>
      <c r="FU112" s="189"/>
      <c r="FV112" s="189"/>
      <c r="FW112" s="189"/>
      <c r="FX112" s="189"/>
      <c r="FY112" s="189"/>
      <c r="FZ112" s="189"/>
      <c r="GA112" s="189"/>
      <c r="GB112" s="189"/>
      <c r="GC112" s="189"/>
    </row>
    <row r="113" spans="1:185" ht="13.8" thickBot="1">
      <c r="A113" s="306" t="s">
        <v>109</v>
      </c>
      <c r="B113" s="137"/>
      <c r="F113" s="210" t="s">
        <v>110</v>
      </c>
      <c r="G113" s="301"/>
      <c r="H113" s="301"/>
      <c r="I113" s="302"/>
      <c r="J113" s="212"/>
      <c r="K113" s="284">
        <v>2</v>
      </c>
      <c r="BF113" s="232">
        <f>SUM(BF5:BF96,BF99:BF112)-BF106</f>
        <v>0</v>
      </c>
      <c r="BG113" s="232">
        <f>SUM(BG5:BG96,BG99:BG112)-BG106</f>
        <v>-6</v>
      </c>
      <c r="BH113" s="232">
        <f>SUM(BH5:BH96,BH99:BH112)-BH106</f>
        <v>-6</v>
      </c>
      <c r="BI113" s="138"/>
      <c r="BJ113" s="138"/>
      <c r="BK113" s="138"/>
      <c r="BL113" s="138"/>
      <c r="BM113" s="307" t="e">
        <f>ROUND(SUM(BM4:BM98,BM106:BM112),0)</f>
        <v>#VALUE!</v>
      </c>
      <c r="BN113" s="307" t="e">
        <f>ROUND(SUM(BN4:BN98,BN106:BN112),0)</f>
        <v>#VALUE!</v>
      </c>
      <c r="BO113" s="307"/>
      <c r="BP113" s="307"/>
      <c r="BQ113" s="307"/>
      <c r="BR113" s="307"/>
      <c r="BS113" s="307"/>
      <c r="BT113" s="307"/>
      <c r="BU113" s="307"/>
      <c r="BV113" s="307"/>
      <c r="BW113" s="307"/>
      <c r="BX113" s="307"/>
      <c r="BY113" s="307"/>
      <c r="BZ113" s="307"/>
      <c r="CA113" s="307"/>
      <c r="CB113" s="307"/>
      <c r="CC113" s="307"/>
      <c r="CD113" s="307"/>
      <c r="CE113" s="307"/>
      <c r="CF113" s="307"/>
      <c r="CG113" s="307"/>
      <c r="CH113" s="307"/>
      <c r="CI113" s="307"/>
      <c r="CJ113" s="307"/>
      <c r="CK113" s="307"/>
      <c r="CL113" s="307"/>
      <c r="CM113" s="307"/>
      <c r="CN113" s="307"/>
      <c r="CO113" s="307"/>
      <c r="CP113" s="307"/>
      <c r="CQ113" s="307"/>
      <c r="CR113" s="307"/>
      <c r="CS113" s="307"/>
      <c r="CT113" s="307"/>
      <c r="CU113" s="307"/>
      <c r="CV113" s="307"/>
      <c r="CW113" s="307"/>
      <c r="CX113" s="307"/>
      <c r="CY113" s="307"/>
      <c r="CZ113" s="307"/>
      <c r="DA113" s="307"/>
      <c r="DB113" s="307"/>
      <c r="DC113" s="307"/>
      <c r="DD113" s="307"/>
      <c r="DE113" s="307"/>
      <c r="DF113" s="307"/>
      <c r="DG113" s="307"/>
      <c r="DH113" s="307"/>
      <c r="DI113" s="307"/>
      <c r="DJ113" s="307"/>
      <c r="DK113" s="307"/>
      <c r="DL113" s="307"/>
      <c r="DM113" s="307"/>
      <c r="DN113" s="307"/>
      <c r="DO113" s="307"/>
      <c r="DP113" s="307"/>
      <c r="DQ113" s="307"/>
      <c r="DR113" s="307"/>
      <c r="DS113" s="307"/>
      <c r="DT113" s="307"/>
      <c r="DU113" s="307"/>
      <c r="DV113" s="307"/>
      <c r="DW113" s="307"/>
      <c r="DX113" s="307"/>
      <c r="DY113" s="307"/>
      <c r="DZ113" s="307"/>
      <c r="EA113" s="307"/>
      <c r="EB113" s="307"/>
      <c r="EC113" s="307"/>
      <c r="ED113" s="307"/>
      <c r="EE113" s="307"/>
      <c r="EF113" s="307"/>
      <c r="EG113" s="307"/>
      <c r="EH113" s="307"/>
      <c r="EI113" s="307"/>
      <c r="EJ113" s="307"/>
      <c r="EK113" s="307"/>
      <c r="EL113" s="307"/>
      <c r="EM113" s="307"/>
      <c r="EN113" s="307"/>
      <c r="EO113" s="307"/>
      <c r="EP113" s="307"/>
      <c r="EQ113" s="307"/>
      <c r="ER113" s="307"/>
      <c r="ES113" s="307"/>
      <c r="ET113" s="307"/>
      <c r="EU113" s="307"/>
      <c r="EV113" s="307"/>
      <c r="EW113" s="307"/>
      <c r="EX113" s="307"/>
      <c r="EY113" s="307"/>
      <c r="EZ113" s="307"/>
      <c r="FA113" s="307"/>
      <c r="FB113" s="307"/>
      <c r="FC113" s="307"/>
      <c r="FD113" s="307"/>
      <c r="FE113" s="307"/>
      <c r="FF113" s="307"/>
      <c r="FG113" s="307"/>
      <c r="FH113" s="307"/>
      <c r="FI113" s="307"/>
      <c r="FJ113" s="307"/>
      <c r="FK113" s="307"/>
      <c r="FL113" s="307"/>
      <c r="FM113" s="307"/>
      <c r="FN113" s="307"/>
      <c r="FO113" s="307"/>
      <c r="FP113" s="307"/>
      <c r="FQ113" s="307"/>
      <c r="FR113" s="307"/>
      <c r="FS113" s="307"/>
      <c r="FT113" s="307"/>
      <c r="FU113" s="307"/>
      <c r="FV113" s="307"/>
      <c r="FW113" s="307"/>
      <c r="FX113" s="307"/>
      <c r="FY113" s="307"/>
      <c r="FZ113" s="307"/>
      <c r="GA113" s="307"/>
      <c r="GB113" s="307"/>
      <c r="GC113" s="307"/>
    </row>
    <row r="114" spans="1:185" ht="13.8" thickBot="1">
      <c r="A114" s="281"/>
      <c r="B114" s="165"/>
      <c r="C114" s="309" t="s">
        <v>111</v>
      </c>
      <c r="BF114" s="166"/>
      <c r="BG114" s="166"/>
      <c r="BH114" s="167"/>
      <c r="BM114" s="168"/>
      <c r="BN114" s="169"/>
      <c r="BO114" s="169"/>
      <c r="BP114" s="169"/>
      <c r="BQ114" s="169"/>
      <c r="BR114" s="169"/>
      <c r="BS114" s="169"/>
      <c r="BT114" s="169"/>
      <c r="BU114" s="169"/>
      <c r="BV114" s="169"/>
      <c r="BW114" s="169"/>
      <c r="BX114" s="169"/>
      <c r="BY114" s="169"/>
      <c r="BZ114" s="169"/>
      <c r="CA114" s="169"/>
      <c r="CB114" s="169"/>
      <c r="CC114" s="169"/>
      <c r="CD114" s="169"/>
      <c r="CE114" s="169"/>
      <c r="CF114" s="169"/>
      <c r="CG114" s="169"/>
      <c r="CH114" s="169"/>
      <c r="CI114" s="169"/>
      <c r="CJ114" s="169"/>
      <c r="CK114" s="169"/>
      <c r="CL114" s="169"/>
      <c r="CM114" s="169"/>
      <c r="CN114" s="169"/>
      <c r="CO114" s="169"/>
      <c r="CP114" s="169"/>
      <c r="CQ114" s="169"/>
      <c r="CR114" s="169"/>
      <c r="CS114" s="169"/>
      <c r="CT114" s="169"/>
      <c r="CU114" s="169"/>
      <c r="CV114" s="169"/>
      <c r="CW114" s="169"/>
      <c r="CX114" s="169"/>
      <c r="CY114" s="169"/>
      <c r="CZ114" s="169"/>
      <c r="DA114" s="169"/>
      <c r="DB114" s="169"/>
      <c r="DC114" s="169"/>
      <c r="DD114" s="169"/>
      <c r="DE114" s="169"/>
      <c r="DF114" s="169"/>
      <c r="DG114" s="169"/>
      <c r="DH114" s="169"/>
      <c r="DI114" s="169"/>
      <c r="DJ114" s="169"/>
      <c r="DK114" s="169"/>
      <c r="DL114" s="169"/>
      <c r="DM114" s="169"/>
      <c r="DN114" s="169"/>
      <c r="DO114" s="169"/>
      <c r="DP114" s="169"/>
      <c r="DQ114" s="169"/>
      <c r="DR114" s="169"/>
      <c r="DS114" s="169"/>
      <c r="DT114" s="169"/>
      <c r="DU114" s="169"/>
      <c r="DV114" s="169"/>
      <c r="DW114" s="169"/>
      <c r="DX114" s="169"/>
      <c r="DY114" s="169"/>
      <c r="DZ114" s="169"/>
      <c r="EA114" s="169"/>
      <c r="EB114" s="169"/>
      <c r="EC114" s="169"/>
      <c r="ED114" s="169"/>
      <c r="EE114" s="169"/>
      <c r="EF114" s="169"/>
      <c r="EG114" s="169"/>
      <c r="EH114" s="169"/>
      <c r="EI114" s="169"/>
      <c r="EJ114" s="169"/>
      <c r="EK114" s="169"/>
      <c r="EL114" s="169"/>
      <c r="EM114" s="169"/>
      <c r="EN114" s="169"/>
      <c r="EO114" s="169"/>
      <c r="EP114" s="169"/>
      <c r="EQ114" s="169"/>
      <c r="ER114" s="169"/>
      <c r="ES114" s="169"/>
      <c r="ET114" s="169"/>
      <c r="EU114" s="169"/>
      <c r="EV114" s="169"/>
      <c r="EW114" s="169"/>
      <c r="EX114" s="169"/>
      <c r="EY114" s="169"/>
      <c r="EZ114" s="169"/>
      <c r="FA114" s="169"/>
      <c r="FB114" s="169"/>
      <c r="FC114" s="169"/>
      <c r="FD114" s="169"/>
      <c r="FE114" s="169"/>
      <c r="FF114" s="169"/>
      <c r="FG114" s="169"/>
      <c r="FH114" s="169"/>
      <c r="FI114" s="169"/>
      <c r="FJ114" s="169"/>
      <c r="FK114" s="169"/>
      <c r="FL114" s="169"/>
      <c r="FM114" s="169"/>
      <c r="FN114" s="169"/>
      <c r="FO114" s="169"/>
      <c r="FP114" s="169"/>
      <c r="FQ114" s="169"/>
      <c r="FR114" s="169"/>
      <c r="FS114" s="169"/>
      <c r="FT114" s="169"/>
      <c r="FU114" s="169"/>
      <c r="FV114" s="169"/>
      <c r="FW114" s="169"/>
      <c r="FX114" s="169"/>
      <c r="FY114" s="169"/>
      <c r="FZ114" s="169"/>
      <c r="GA114" s="169"/>
      <c r="GB114" s="169"/>
      <c r="GC114" s="169"/>
    </row>
    <row r="115" spans="1:185">
      <c r="A115" s="155" t="s">
        <v>112</v>
      </c>
      <c r="B115" s="156"/>
      <c r="C115" s="310"/>
      <c r="D115" s="310"/>
      <c r="E115" s="311"/>
      <c r="F115" s="312"/>
      <c r="G115" s="313"/>
      <c r="H115" s="314"/>
      <c r="I115" s="313"/>
      <c r="J115" s="314"/>
      <c r="K115" s="315"/>
      <c r="L115" s="314"/>
      <c r="M115" s="315"/>
      <c r="N115" s="314"/>
      <c r="P115" s="163">
        <f t="shared" ref="P115:P126" si="151">IF(E115&lt;&gt;0,YEAR(E115)*12+MONTH(E115),0)</f>
        <v>0</v>
      </c>
      <c r="Q115" s="164">
        <f t="shared" ref="Q115:Q126" si="152">IF(G115&lt;&gt;0,YEAR(G115)*12+MONTH(G115),0)</f>
        <v>0</v>
      </c>
      <c r="R115" s="164">
        <f t="shared" ref="R115:R126" si="153">IF(I115&lt;&gt;0,YEAR(I115)*12+MONTH(I115),0)</f>
        <v>0</v>
      </c>
      <c r="S115" s="164">
        <f t="shared" ref="S115:S126" si="154">IF(K115&lt;&gt;0,YEAR(K115)*12+MONTH(K115),0)</f>
        <v>0</v>
      </c>
      <c r="T115" s="165">
        <f t="shared" ref="T115:T126" si="155">IF(M115&lt;&gt;0,YEAR(M115)*12+MONTH(M115),0)</f>
        <v>0</v>
      </c>
      <c r="X115" s="316" t="s">
        <v>69</v>
      </c>
      <c r="Y115" s="317"/>
      <c r="Z115" s="317"/>
      <c r="AA115" s="318"/>
      <c r="AB115" s="316" t="s">
        <v>70</v>
      </c>
      <c r="AC115" s="317"/>
      <c r="AD115" s="317"/>
      <c r="AE115" s="318"/>
      <c r="AF115" s="319"/>
      <c r="AG115" s="317" t="s">
        <v>71</v>
      </c>
      <c r="AH115" s="317"/>
      <c r="AI115" s="165"/>
      <c r="AJ115" s="319"/>
      <c r="AK115" s="317" t="s">
        <v>72</v>
      </c>
      <c r="AL115" s="317"/>
      <c r="AM115" s="165"/>
      <c r="AN115" s="319"/>
      <c r="AO115" s="317" t="s">
        <v>73</v>
      </c>
      <c r="AP115" s="317"/>
      <c r="AQ115" s="165"/>
      <c r="AR115" s="319"/>
      <c r="AS115" s="317" t="s">
        <v>74</v>
      </c>
      <c r="AT115" s="317"/>
      <c r="AU115" s="165"/>
      <c r="BF115" s="166">
        <f>BG115/(1+T1_CAF_TX_TVA)</f>
        <v>0</v>
      </c>
      <c r="BG115" s="166">
        <f>T1_CAF</f>
        <v>0</v>
      </c>
      <c r="BH115" s="167">
        <f>BG115-BF115</f>
        <v>0</v>
      </c>
      <c r="BM115" s="168" t="e">
        <f ca="1">IF(AND(T1_1erSIGN&lt;T1_FO,T1_1erSIGN-DEC_APF&lt;BM$3,T1_FO&gt;=BM$3,TRESO!$AE$29&lt;&gt;0),TRESO!$AE$29*T1_CAF_LOTS,HLOOKUP(BM$3-DEC_APF,T1_CONST_TABLE,4))*OFFSET(BM$152,0,-DEC_APF)+(IF(BM$3&gt;=$P115,$F115,0)+IF(BM$3&gt;=$Q115,$H115,0)+IF(BM$3&gt;=$R115,$J115,0)+IF(BM$3&gt;=$S115,$L115,0)+IF(BM$3&gt;=$T115,$N115,0)+IF(BM$3&gt;=$P116,$F116,0)+IF(BM$3&gt;=$Q116,$H116,0)+IF(BM$3&gt;=$R116,$J116,0)+IF(BM$3&gt;=$S116,$L116,0)+IF(BM$3&gt;=$T116,$N116,0))*T1_CAF</f>
        <v>#VALUE!</v>
      </c>
      <c r="BN115" s="168" t="e">
        <f ca="1">IF(AND(T1_1erSIGN&lt;T1_FO,T1_1erSIGN-DEC_APF&lt;BN$3,T1_FO&gt;=BN$3,TRESO!$AE$29&lt;&gt;0),TRESO!$AE$29*T1_CAF_LOTS,HLOOKUP(BN$3-DEC_APF,T1_CONST_TABLE,4))*OFFSET(BN$152,0,-DEC_APF)+(IF(BN$3&gt;=$P115,$F115,0)+IF(BN$3&gt;=$Q115,$H115,0)+IF(BN$3&gt;=$R115,$J115,0)+IF(BN$3&gt;=$S115,$L115,0)+IF(BN$3&gt;=$T115,$N115,0)+IF(BN$3&gt;=$P116,$F116,0)+IF(BN$3&gt;=$Q116,$H116,0)+IF(BN$3&gt;=$R116,$J116,0)+IF(BN$3&gt;=$S116,$L116,0)+IF(BN$3&gt;=$T116,$N116,0))*T1_CAF</f>
        <v>#VALUE!</v>
      </c>
      <c r="BO115" s="168"/>
      <c r="BP115" s="168"/>
      <c r="BQ115" s="168"/>
      <c r="BR115" s="168"/>
      <c r="BS115" s="168"/>
      <c r="BT115" s="168"/>
      <c r="BU115" s="168"/>
      <c r="BV115" s="168"/>
      <c r="BW115" s="168"/>
      <c r="BX115" s="168"/>
      <c r="BY115" s="168"/>
      <c r="BZ115" s="168"/>
      <c r="CA115" s="168"/>
      <c r="CB115" s="168"/>
      <c r="CC115" s="168"/>
      <c r="CD115" s="168"/>
      <c r="CE115" s="168"/>
      <c r="CF115" s="168"/>
      <c r="CG115" s="168"/>
      <c r="CH115" s="168"/>
      <c r="CI115" s="168"/>
      <c r="CJ115" s="168"/>
      <c r="CK115" s="168"/>
      <c r="CL115" s="168"/>
      <c r="CM115" s="168"/>
      <c r="CN115" s="168"/>
      <c r="CO115" s="168"/>
      <c r="CP115" s="168"/>
      <c r="CQ115" s="168"/>
      <c r="CR115" s="168"/>
      <c r="CS115" s="168"/>
      <c r="CT115" s="168"/>
      <c r="CU115" s="168"/>
      <c r="CV115" s="168"/>
      <c r="CW115" s="168"/>
      <c r="CX115" s="168"/>
      <c r="CY115" s="168"/>
      <c r="CZ115" s="168"/>
      <c r="DA115" s="168"/>
      <c r="DB115" s="168"/>
      <c r="DC115" s="168"/>
      <c r="DD115" s="168"/>
      <c r="DE115" s="168"/>
      <c r="DF115" s="168"/>
      <c r="DG115" s="168"/>
      <c r="DH115" s="168"/>
      <c r="DI115" s="168"/>
      <c r="DJ115" s="168"/>
      <c r="DK115" s="168"/>
      <c r="DL115" s="168"/>
      <c r="DM115" s="168"/>
      <c r="DN115" s="168"/>
      <c r="DO115" s="168"/>
      <c r="DP115" s="168"/>
      <c r="DQ115" s="168"/>
      <c r="DR115" s="168"/>
      <c r="DS115" s="168"/>
      <c r="DT115" s="168"/>
      <c r="DU115" s="168"/>
      <c r="DV115" s="168"/>
      <c r="DW115" s="168"/>
      <c r="DX115" s="168"/>
      <c r="DY115" s="168"/>
      <c r="DZ115" s="168"/>
      <c r="EA115" s="168"/>
      <c r="EB115" s="168"/>
      <c r="EC115" s="168"/>
      <c r="ED115" s="168"/>
      <c r="EE115" s="168"/>
      <c r="EF115" s="168"/>
      <c r="EG115" s="168"/>
      <c r="EH115" s="168"/>
      <c r="EI115" s="168"/>
      <c r="EJ115" s="168"/>
      <c r="EK115" s="168"/>
      <c r="EL115" s="168"/>
      <c r="EM115" s="168"/>
      <c r="EN115" s="168"/>
      <c r="EO115" s="168"/>
      <c r="EP115" s="168"/>
      <c r="EQ115" s="168"/>
      <c r="ER115" s="168"/>
      <c r="ES115" s="168"/>
      <c r="ET115" s="168"/>
      <c r="EU115" s="168"/>
      <c r="EV115" s="168"/>
      <c r="EW115" s="168"/>
      <c r="EX115" s="168"/>
      <c r="EY115" s="168"/>
      <c r="EZ115" s="168"/>
      <c r="FA115" s="168"/>
      <c r="FB115" s="168"/>
      <c r="FC115" s="168"/>
      <c r="FD115" s="168"/>
      <c r="FE115" s="168"/>
      <c r="FF115" s="168"/>
      <c r="FG115" s="168"/>
      <c r="FH115" s="168"/>
      <c r="FI115" s="168"/>
      <c r="FJ115" s="168"/>
      <c r="FK115" s="168"/>
      <c r="FL115" s="168"/>
      <c r="FM115" s="168"/>
      <c r="FN115" s="168"/>
      <c r="FO115" s="168"/>
      <c r="FP115" s="168"/>
      <c r="FQ115" s="168"/>
      <c r="FR115" s="168"/>
      <c r="FS115" s="168"/>
      <c r="FT115" s="168"/>
      <c r="FU115" s="168"/>
      <c r="FV115" s="168"/>
      <c r="FW115" s="168"/>
      <c r="FX115" s="168"/>
      <c r="FY115" s="168"/>
      <c r="FZ115" s="168"/>
      <c r="GA115" s="168"/>
      <c r="GB115" s="168"/>
      <c r="GC115" s="168"/>
    </row>
    <row r="116" spans="1:185" ht="13.8" thickBot="1">
      <c r="A116" s="155"/>
      <c r="B116" s="156"/>
      <c r="C116" s="320" t="s">
        <v>41</v>
      </c>
      <c r="D116" s="321" t="s">
        <v>113</v>
      </c>
      <c r="E116" s="322"/>
      <c r="F116" s="323"/>
      <c r="G116" s="324"/>
      <c r="H116" s="323"/>
      <c r="I116" s="324"/>
      <c r="J116" s="323"/>
      <c r="K116" s="325"/>
      <c r="L116" s="323"/>
      <c r="M116" s="325"/>
      <c r="N116" s="323"/>
      <c r="P116" s="326">
        <f t="shared" si="151"/>
        <v>0</v>
      </c>
      <c r="Q116" s="237">
        <f t="shared" si="152"/>
        <v>0</v>
      </c>
      <c r="R116" s="237">
        <f t="shared" si="153"/>
        <v>0</v>
      </c>
      <c r="S116" s="237">
        <f t="shared" si="154"/>
        <v>0</v>
      </c>
      <c r="T116" s="327">
        <f t="shared" si="155"/>
        <v>0</v>
      </c>
      <c r="X116" s="328" t="s">
        <v>114</v>
      </c>
      <c r="Y116" s="217" t="s">
        <v>115</v>
      </c>
      <c r="Z116" s="217" t="s">
        <v>116</v>
      </c>
      <c r="AA116" s="329" t="s">
        <v>117</v>
      </c>
      <c r="AB116" s="328" t="s">
        <v>114</v>
      </c>
      <c r="AC116" s="217" t="s">
        <v>115</v>
      </c>
      <c r="AD116" s="217" t="s">
        <v>116</v>
      </c>
      <c r="AE116" s="329" t="s">
        <v>117</v>
      </c>
      <c r="AF116" s="328" t="s">
        <v>114</v>
      </c>
      <c r="AG116" s="217" t="s">
        <v>115</v>
      </c>
      <c r="AH116" s="217" t="s">
        <v>116</v>
      </c>
      <c r="AI116" s="329" t="s">
        <v>117</v>
      </c>
      <c r="AJ116" s="328" t="s">
        <v>114</v>
      </c>
      <c r="AK116" s="217" t="s">
        <v>115</v>
      </c>
      <c r="AL116" s="217" t="s">
        <v>116</v>
      </c>
      <c r="AM116" s="329" t="s">
        <v>117</v>
      </c>
      <c r="AN116" s="328" t="s">
        <v>114</v>
      </c>
      <c r="AO116" s="217" t="s">
        <v>115</v>
      </c>
      <c r="AP116" s="217" t="s">
        <v>116</v>
      </c>
      <c r="AQ116" s="329" t="s">
        <v>117</v>
      </c>
      <c r="AR116" s="328" t="s">
        <v>114</v>
      </c>
      <c r="AS116" s="217" t="s">
        <v>115</v>
      </c>
      <c r="AT116" s="217" t="s">
        <v>116</v>
      </c>
      <c r="AU116" s="329" t="s">
        <v>117</v>
      </c>
      <c r="BF116" s="152"/>
      <c r="BG116" s="267"/>
      <c r="BH116" s="267"/>
      <c r="BM116" s="330"/>
      <c r="BN116" s="152"/>
      <c r="BO116" s="152"/>
      <c r="BP116" s="152"/>
      <c r="BQ116" s="152"/>
      <c r="BR116" s="152"/>
      <c r="BS116" s="152"/>
      <c r="BT116" s="152"/>
      <c r="BU116" s="152"/>
      <c r="BV116" s="152"/>
      <c r="BW116" s="152"/>
      <c r="BX116" s="152"/>
      <c r="BY116" s="152"/>
      <c r="BZ116" s="152"/>
      <c r="CA116" s="152"/>
      <c r="CB116" s="152"/>
      <c r="CC116" s="152"/>
      <c r="CD116" s="152"/>
      <c r="CE116" s="152"/>
      <c r="CF116" s="152"/>
      <c r="CG116" s="152"/>
      <c r="CH116" s="152"/>
      <c r="CI116" s="152"/>
      <c r="CJ116" s="152"/>
      <c r="CK116" s="152"/>
      <c r="CL116" s="152"/>
      <c r="CM116" s="152"/>
      <c r="CN116" s="152"/>
      <c r="CO116" s="152"/>
      <c r="CP116" s="152"/>
      <c r="CQ116" s="152"/>
      <c r="CR116" s="152"/>
      <c r="CS116" s="152"/>
      <c r="CT116" s="152"/>
      <c r="CU116" s="152"/>
      <c r="CV116" s="152"/>
      <c r="CW116" s="152"/>
      <c r="CX116" s="152"/>
      <c r="CY116" s="152"/>
      <c r="CZ116" s="152"/>
      <c r="DA116" s="152"/>
      <c r="DB116" s="152"/>
      <c r="DC116" s="152"/>
      <c r="DD116" s="152"/>
      <c r="DE116" s="152"/>
      <c r="DF116" s="152"/>
      <c r="DG116" s="152"/>
      <c r="DH116" s="152"/>
      <c r="DI116" s="152"/>
      <c r="DJ116" s="152"/>
      <c r="DK116" s="152"/>
      <c r="DL116" s="152"/>
      <c r="DM116" s="152"/>
      <c r="DN116" s="152"/>
      <c r="DO116" s="152"/>
      <c r="DP116" s="152"/>
      <c r="DQ116" s="152"/>
      <c r="DR116" s="152"/>
      <c r="DS116" s="152"/>
      <c r="DT116" s="152"/>
      <c r="DU116" s="152"/>
      <c r="DV116" s="152"/>
      <c r="DW116" s="152"/>
      <c r="DX116" s="152"/>
      <c r="DY116" s="152"/>
      <c r="DZ116" s="152"/>
      <c r="EA116" s="152"/>
      <c r="EB116" s="152"/>
      <c r="EC116" s="152"/>
      <c r="ED116" s="152"/>
      <c r="EE116" s="152"/>
      <c r="EF116" s="152"/>
      <c r="EG116" s="152"/>
      <c r="EH116" s="152"/>
      <c r="EI116" s="152"/>
      <c r="EJ116" s="152"/>
      <c r="EK116" s="152"/>
      <c r="EL116" s="152"/>
      <c r="EM116" s="152"/>
      <c r="EN116" s="152"/>
      <c r="EO116" s="152"/>
      <c r="EP116" s="152"/>
      <c r="EQ116" s="152"/>
      <c r="ER116" s="152"/>
      <c r="ES116" s="152"/>
      <c r="ET116" s="152"/>
      <c r="EU116" s="152"/>
      <c r="EV116" s="152"/>
      <c r="EW116" s="152"/>
      <c r="EX116" s="152"/>
      <c r="EY116" s="152"/>
      <c r="EZ116" s="152"/>
      <c r="FA116" s="152"/>
      <c r="FB116" s="152"/>
      <c r="FC116" s="152"/>
      <c r="FD116" s="152"/>
      <c r="FE116" s="152"/>
      <c r="FF116" s="152"/>
      <c r="FG116" s="152"/>
      <c r="FH116" s="152"/>
      <c r="FI116" s="152"/>
      <c r="FJ116" s="152"/>
      <c r="FK116" s="152"/>
      <c r="FL116" s="152"/>
      <c r="FM116" s="152"/>
      <c r="FN116" s="152"/>
      <c r="FO116" s="152"/>
      <c r="FP116" s="152"/>
      <c r="FQ116" s="152"/>
      <c r="FR116" s="152"/>
      <c r="FS116" s="152"/>
      <c r="FT116" s="152"/>
      <c r="FU116" s="152"/>
      <c r="FV116" s="152"/>
      <c r="FW116" s="152"/>
      <c r="FX116" s="152"/>
      <c r="FY116" s="152"/>
      <c r="FZ116" s="152"/>
      <c r="GA116" s="152"/>
      <c r="GB116" s="152"/>
      <c r="GC116" s="152"/>
    </row>
    <row r="117" spans="1:185" ht="13.8" thickBot="1">
      <c r="A117" s="155"/>
      <c r="B117" s="290" t="s">
        <v>51</v>
      </c>
      <c r="C117" s="331"/>
      <c r="D117" s="223"/>
      <c r="E117" s="332"/>
      <c r="F117" s="333"/>
      <c r="G117" s="334"/>
      <c r="H117" s="333"/>
      <c r="I117" s="334"/>
      <c r="J117" s="333"/>
      <c r="K117" s="335"/>
      <c r="L117" s="333"/>
      <c r="M117" s="335"/>
      <c r="N117" s="333"/>
      <c r="P117" s="336">
        <f t="shared" si="151"/>
        <v>0</v>
      </c>
      <c r="Q117" s="337">
        <f t="shared" si="152"/>
        <v>0</v>
      </c>
      <c r="R117" s="132">
        <f t="shared" si="153"/>
        <v>0</v>
      </c>
      <c r="S117" s="132">
        <f t="shared" si="154"/>
        <v>0</v>
      </c>
      <c r="T117" s="271">
        <f t="shared" si="155"/>
        <v>0</v>
      </c>
      <c r="U117" s="305"/>
      <c r="X117" s="296">
        <f>IF(T1_NBLOTS&lt;&gt;0,T1_CAF/T1_NBLOTS,T1_CAF)</f>
        <v>0</v>
      </c>
      <c r="Y117" s="338">
        <f>IF(CAF&lt;&gt;0,T1_CAF/CAF,0)</f>
        <v>0</v>
      </c>
      <c r="Z117" s="339">
        <f>YEAR(T1_NOTIF)*12+MONTH(T1_NOTIF)</f>
        <v>22801</v>
      </c>
      <c r="AA117" s="340">
        <f>YEAR(T1_DEB_PLAN)*12+MONTH(T1_DEB_PLAN)</f>
        <v>22801</v>
      </c>
      <c r="AB117" s="296">
        <f>IF(T2_NBLOTS&lt;&gt;0,T2_CAF/T2_NBLOTS,T2_CAF)</f>
        <v>0</v>
      </c>
      <c r="AC117" s="338">
        <f>IF(CAF&lt;&gt;0,T2_CAF/CAF,0)</f>
        <v>0</v>
      </c>
      <c r="AD117" s="339">
        <f>YEAR(T2_NOTIF)*12+MONTH(T2_NOTIF)</f>
        <v>22801</v>
      </c>
      <c r="AE117" s="340">
        <f>YEAR(T2_DEB_PLAN)*12+MONTH(T2_DEB_PLAN)</f>
        <v>22801</v>
      </c>
      <c r="AF117" s="296">
        <f>IF(T3_NBLOTS&lt;&gt;0,T3_CAF/T3_NBLOTS,T3_CAF)</f>
        <v>0</v>
      </c>
      <c r="AG117" s="338">
        <f>IF(CAF&lt;&gt;0,T3_CAF/CAF,0)</f>
        <v>0</v>
      </c>
      <c r="AH117" s="339">
        <f>YEAR(T3_NOTIF)*12+MONTH(T3_NOTIF)</f>
        <v>22801</v>
      </c>
      <c r="AI117" s="340">
        <f>YEAR(T3_DEB_PLAN)*12+MONTH(T3_DEB_PLAN)</f>
        <v>22801</v>
      </c>
      <c r="AJ117" s="296">
        <f>IF(T4_NBLOTS&lt;&gt;0,T4_CAF/T4_NBLOTS,T4_CAF)</f>
        <v>0</v>
      </c>
      <c r="AK117" s="338">
        <f>IF(CAF&lt;&gt;0,T4_CAF/CAF,0)</f>
        <v>0</v>
      </c>
      <c r="AL117" s="339">
        <f>YEAR(T4_NOTIF)*12+MONTH(T4_NOTIF)</f>
        <v>22801</v>
      </c>
      <c r="AM117" s="340">
        <f>YEAR(T4_DEB_PLAN)*12+MONTH(T4_DEB_PLAN)</f>
        <v>22801</v>
      </c>
      <c r="AN117" s="296">
        <f>IF(T5_NBLOTS&lt;&gt;0,T5_CAF/T5_NBLOTS,T5_CAF)</f>
        <v>0</v>
      </c>
      <c r="AO117" s="338">
        <f>IF(CAF&lt;&gt;0,T5_CAF/CAF,0)</f>
        <v>0</v>
      </c>
      <c r="AP117" s="339">
        <f>YEAR(T5_NOTIF)*12+MONTH(T5_NOTIF)</f>
        <v>22801</v>
      </c>
      <c r="AQ117" s="340">
        <f>YEAR(T5_DEB_PLAN)*12+MONTH(T5_DEB_PLAN)</f>
        <v>22801</v>
      </c>
      <c r="AR117" s="296">
        <f>IF(T6_NBLOTS&lt;&gt;0,T6_CAF/T6_NBLOTS,T6_CAF)</f>
        <v>0</v>
      </c>
      <c r="AS117" s="338">
        <f>IF(CAF&lt;&gt;0,T6_CAF/CAF,0)</f>
        <v>0</v>
      </c>
      <c r="AT117" s="339">
        <f>YEAR(T6_NOTIF)*12+MONTH(T6_NOTIF)</f>
        <v>22801</v>
      </c>
      <c r="AU117" s="340">
        <f>YEAR(T6_DEB_PLAN)*12+MONTH(T6_DEB_PLAN)</f>
        <v>22801</v>
      </c>
      <c r="BF117" s="166">
        <f>BG117/(1+T2_CAF_TX_TVA)</f>
        <v>0</v>
      </c>
      <c r="BG117" s="166">
        <f>T2_CAF</f>
        <v>0</v>
      </c>
      <c r="BH117" s="167">
        <f>BG117-BF117</f>
        <v>0</v>
      </c>
      <c r="BM117" s="168" t="e">
        <f ca="1">IF(AND(T2_1erSIGN&lt;T2_FO,T2_1erSIGN-DEC_APF&lt;BM$3,T2_FO&gt;=BM$3,TRESO!$AE$29&lt;&gt;0),TRESO!$AE$29*T2_CAF_LOTS,HLOOKUP(BM$3-DEC_APF,T2_CONST_TABLE,4))*OFFSET(BM$156,0,-DEC_APF)+(IF(BM$3&gt;=$P117,$F117,0)+IF(BM$3&gt;=$Q117,$H117,0)+IF(BM$3&gt;=$R117,$J117,0)+IF(BM$3&gt;=$S117,$L117,0)+IF(BM$3&gt;=$T117,$N117,0)+IF(BM$3&gt;=$P118,$F118,0)+IF(BM$3&gt;=$Q118,$H118,0)+IF(BM$3&gt;=$R118,$J118,0)+IF(BM$3&gt;=$S118,$L118,0)+IF(BM$3&gt;=$T118,$N118,0))*T2_CAF</f>
        <v>#VALUE!</v>
      </c>
      <c r="BN117" s="168" t="e">
        <f ca="1">IF(AND(T2_1erSIGN&lt;T2_FO,T2_1erSIGN-DEC_APF&lt;BN$3,T2_FO&gt;=BN$3,TRESO!$AE$29&lt;&gt;0),TRESO!$AE$29*T2_CAF_LOTS,HLOOKUP(BN$3-DEC_APF,T2_CONST_TABLE,4))*OFFSET(BN$156,0,-DEC_APF)+(IF(BN$3&gt;=$P117,$F117,0)+IF(BN$3&gt;=$Q117,$H117,0)+IF(BN$3&gt;=$R117,$J117,0)+IF(BN$3&gt;=$S117,$L117,0)+IF(BN$3&gt;=$T117,$N117,0)+IF(BN$3&gt;=$P118,$F118,0)+IF(BN$3&gt;=$Q118,$H118,0)+IF(BN$3&gt;=$R118,$J118,0)+IF(BN$3&gt;=$S118,$L118,0)+IF(BN$3&gt;=$T118,$N118,0))*T2_CAF</f>
        <v>#VALUE!</v>
      </c>
      <c r="BO117" s="168"/>
      <c r="BP117" s="168"/>
      <c r="BQ117" s="168"/>
      <c r="BR117" s="168"/>
      <c r="BS117" s="168"/>
      <c r="BT117" s="168"/>
      <c r="BU117" s="168"/>
      <c r="BV117" s="168"/>
      <c r="BW117" s="168"/>
      <c r="BX117" s="168"/>
      <c r="BY117" s="168"/>
      <c r="BZ117" s="168"/>
      <c r="CA117" s="168"/>
      <c r="CB117" s="168"/>
      <c r="CC117" s="168"/>
      <c r="CD117" s="168"/>
      <c r="CE117" s="168"/>
      <c r="CF117" s="168"/>
      <c r="CG117" s="168"/>
      <c r="CH117" s="168"/>
      <c r="CI117" s="168"/>
      <c r="CJ117" s="168"/>
      <c r="CK117" s="168"/>
      <c r="CL117" s="168"/>
      <c r="CM117" s="168"/>
      <c r="CN117" s="168"/>
      <c r="CO117" s="168"/>
      <c r="CP117" s="168"/>
      <c r="CQ117" s="168"/>
      <c r="CR117" s="168"/>
      <c r="CS117" s="168"/>
      <c r="CT117" s="168"/>
      <c r="CU117" s="168"/>
      <c r="CV117" s="168"/>
      <c r="CW117" s="168"/>
      <c r="CX117" s="168"/>
      <c r="CY117" s="168"/>
      <c r="CZ117" s="168"/>
      <c r="DA117" s="168"/>
      <c r="DB117" s="168"/>
      <c r="DC117" s="168"/>
      <c r="DD117" s="168"/>
      <c r="DE117" s="168"/>
      <c r="DF117" s="168"/>
      <c r="DG117" s="168"/>
      <c r="DH117" s="168"/>
      <c r="DI117" s="168"/>
      <c r="DJ117" s="168"/>
      <c r="DK117" s="168"/>
      <c r="DL117" s="168"/>
      <c r="DM117" s="168"/>
      <c r="DN117" s="168"/>
      <c r="DO117" s="168"/>
      <c r="DP117" s="168"/>
      <c r="DQ117" s="168"/>
      <c r="DR117" s="168"/>
      <c r="DS117" s="168"/>
      <c r="DT117" s="168"/>
      <c r="DU117" s="168"/>
      <c r="DV117" s="168"/>
      <c r="DW117" s="168"/>
      <c r="DX117" s="168"/>
      <c r="DY117" s="168"/>
      <c r="DZ117" s="168"/>
      <c r="EA117" s="168"/>
      <c r="EB117" s="168"/>
      <c r="EC117" s="168"/>
      <c r="ED117" s="168"/>
      <c r="EE117" s="168"/>
      <c r="EF117" s="168"/>
      <c r="EG117" s="168"/>
      <c r="EH117" s="168"/>
      <c r="EI117" s="168"/>
      <c r="EJ117" s="168"/>
      <c r="EK117" s="168"/>
      <c r="EL117" s="168"/>
      <c r="EM117" s="168"/>
      <c r="EN117" s="168"/>
      <c r="EO117" s="168"/>
      <c r="EP117" s="168"/>
      <c r="EQ117" s="168"/>
      <c r="ER117" s="168"/>
      <c r="ES117" s="168"/>
      <c r="ET117" s="168"/>
      <c r="EU117" s="168"/>
      <c r="EV117" s="168"/>
      <c r="EW117" s="168"/>
      <c r="EX117" s="168"/>
      <c r="EY117" s="168"/>
      <c r="EZ117" s="168"/>
      <c r="FA117" s="168"/>
      <c r="FB117" s="168"/>
      <c r="FC117" s="168"/>
      <c r="FD117" s="168"/>
      <c r="FE117" s="168"/>
      <c r="FF117" s="168"/>
      <c r="FG117" s="168"/>
      <c r="FH117" s="168"/>
      <c r="FI117" s="168"/>
      <c r="FJ117" s="168"/>
      <c r="FK117" s="168"/>
      <c r="FL117" s="168"/>
      <c r="FM117" s="168"/>
      <c r="FN117" s="168"/>
      <c r="FO117" s="168"/>
      <c r="FP117" s="168"/>
      <c r="FQ117" s="168"/>
      <c r="FR117" s="168"/>
      <c r="FS117" s="168"/>
      <c r="FT117" s="168"/>
      <c r="FU117" s="168"/>
      <c r="FV117" s="168"/>
      <c r="FW117" s="168"/>
      <c r="FX117" s="168"/>
      <c r="FY117" s="168"/>
      <c r="FZ117" s="168"/>
      <c r="GA117" s="168"/>
      <c r="GB117" s="168"/>
      <c r="GC117" s="168"/>
    </row>
    <row r="118" spans="1:185" ht="13.8" thickBot="1">
      <c r="A118" s="155"/>
      <c r="B118" s="290"/>
      <c r="C118" s="320" t="s">
        <v>51</v>
      </c>
      <c r="D118" s="321" t="s">
        <v>113</v>
      </c>
      <c r="E118" s="322"/>
      <c r="F118" s="323"/>
      <c r="G118" s="324"/>
      <c r="H118" s="323"/>
      <c r="I118" s="324"/>
      <c r="J118" s="323"/>
      <c r="K118" s="325"/>
      <c r="L118" s="323"/>
      <c r="M118" s="325"/>
      <c r="N118" s="323"/>
      <c r="P118" s="341">
        <f t="shared" si="151"/>
        <v>0</v>
      </c>
      <c r="Q118" s="342">
        <f t="shared" si="152"/>
        <v>0</v>
      </c>
      <c r="R118" s="237">
        <f t="shared" si="153"/>
        <v>0</v>
      </c>
      <c r="S118" s="237">
        <f t="shared" si="154"/>
        <v>0</v>
      </c>
      <c r="T118" s="343">
        <f t="shared" si="155"/>
        <v>0</v>
      </c>
      <c r="U118" s="305"/>
      <c r="X118" s="138"/>
      <c r="Y118" s="305"/>
      <c r="BF118" s="166"/>
      <c r="BG118" s="166"/>
      <c r="BH118" s="167"/>
      <c r="BM118" s="168"/>
      <c r="BN118" s="169"/>
      <c r="BO118" s="169"/>
      <c r="BP118" s="169"/>
      <c r="BQ118" s="169"/>
      <c r="BR118" s="169"/>
      <c r="BS118" s="169"/>
      <c r="BT118" s="169"/>
      <c r="BU118" s="169"/>
      <c r="BV118" s="169"/>
      <c r="BW118" s="169"/>
      <c r="BX118" s="169"/>
      <c r="BY118" s="169"/>
      <c r="BZ118" s="169"/>
      <c r="CA118" s="169"/>
      <c r="CB118" s="169"/>
      <c r="CC118" s="169"/>
      <c r="CD118" s="169"/>
      <c r="CE118" s="169"/>
      <c r="CF118" s="169"/>
      <c r="CG118" s="169"/>
      <c r="CH118" s="169"/>
      <c r="CI118" s="169"/>
      <c r="CJ118" s="169"/>
      <c r="CK118" s="169"/>
      <c r="CL118" s="169"/>
      <c r="CM118" s="169"/>
      <c r="CN118" s="169"/>
      <c r="CO118" s="169"/>
      <c r="CP118" s="169"/>
      <c r="CQ118" s="169"/>
      <c r="CR118" s="169"/>
      <c r="CS118" s="169"/>
      <c r="CT118" s="169"/>
      <c r="CU118" s="169"/>
      <c r="CV118" s="169"/>
      <c r="CW118" s="169"/>
      <c r="CX118" s="169"/>
      <c r="CY118" s="169"/>
      <c r="CZ118" s="169"/>
      <c r="DA118" s="169"/>
      <c r="DB118" s="169"/>
      <c r="DC118" s="169"/>
      <c r="DD118" s="169"/>
      <c r="DE118" s="169"/>
      <c r="DF118" s="169"/>
      <c r="DG118" s="169"/>
      <c r="DH118" s="169"/>
      <c r="DI118" s="169"/>
      <c r="DJ118" s="169"/>
      <c r="DK118" s="169"/>
      <c r="DL118" s="169"/>
      <c r="DM118" s="169"/>
      <c r="DN118" s="169"/>
      <c r="DO118" s="169"/>
      <c r="DP118" s="169"/>
      <c r="DQ118" s="169"/>
      <c r="DR118" s="169"/>
      <c r="DS118" s="169"/>
      <c r="DT118" s="169"/>
      <c r="DU118" s="169"/>
      <c r="DV118" s="169"/>
      <c r="DW118" s="169"/>
      <c r="DX118" s="169"/>
      <c r="DY118" s="169"/>
      <c r="DZ118" s="169"/>
      <c r="EA118" s="169"/>
      <c r="EB118" s="169"/>
      <c r="EC118" s="169"/>
      <c r="ED118" s="169"/>
      <c r="EE118" s="169"/>
      <c r="EF118" s="169"/>
      <c r="EG118" s="169"/>
      <c r="EH118" s="169"/>
      <c r="EI118" s="169"/>
      <c r="EJ118" s="169"/>
      <c r="EK118" s="169"/>
      <c r="EL118" s="169"/>
      <c r="EM118" s="169"/>
      <c r="EN118" s="169"/>
      <c r="EO118" s="169"/>
      <c r="EP118" s="169"/>
      <c r="EQ118" s="169"/>
      <c r="ER118" s="169"/>
      <c r="ES118" s="169"/>
      <c r="ET118" s="169"/>
      <c r="EU118" s="169"/>
      <c r="EV118" s="169"/>
      <c r="EW118" s="169"/>
      <c r="EX118" s="169"/>
      <c r="EY118" s="169"/>
      <c r="EZ118" s="169"/>
      <c r="FA118" s="169"/>
      <c r="FB118" s="169"/>
      <c r="FC118" s="169"/>
      <c r="FD118" s="169"/>
      <c r="FE118" s="169"/>
      <c r="FF118" s="169"/>
      <c r="FG118" s="169"/>
      <c r="FH118" s="169"/>
      <c r="FI118" s="169"/>
      <c r="FJ118" s="169"/>
      <c r="FK118" s="169"/>
      <c r="FL118" s="169"/>
      <c r="FM118" s="169"/>
      <c r="FN118" s="169"/>
      <c r="FO118" s="169"/>
      <c r="FP118" s="169"/>
      <c r="FQ118" s="169"/>
      <c r="FR118" s="169"/>
      <c r="FS118" s="169"/>
      <c r="FT118" s="169"/>
      <c r="FU118" s="169"/>
      <c r="FV118" s="169"/>
      <c r="FW118" s="169"/>
      <c r="FX118" s="169"/>
      <c r="FY118" s="169"/>
      <c r="FZ118" s="169"/>
      <c r="GA118" s="169"/>
      <c r="GB118" s="169"/>
      <c r="GC118" s="169"/>
    </row>
    <row r="119" spans="1:185">
      <c r="A119" s="155"/>
      <c r="B119" s="290" t="s">
        <v>53</v>
      </c>
      <c r="C119" s="331"/>
      <c r="D119" s="223"/>
      <c r="E119" s="332"/>
      <c r="F119" s="333"/>
      <c r="G119" s="334"/>
      <c r="H119" s="333"/>
      <c r="I119" s="334"/>
      <c r="J119" s="333"/>
      <c r="K119" s="335"/>
      <c r="L119" s="333"/>
      <c r="M119" s="335"/>
      <c r="N119" s="333"/>
      <c r="P119" s="336">
        <f t="shared" si="151"/>
        <v>0</v>
      </c>
      <c r="Q119" s="337">
        <f t="shared" si="152"/>
        <v>0</v>
      </c>
      <c r="R119" s="132">
        <f t="shared" si="153"/>
        <v>0</v>
      </c>
      <c r="S119" s="132">
        <f t="shared" si="154"/>
        <v>0</v>
      </c>
      <c r="T119" s="271">
        <f t="shared" si="155"/>
        <v>0</v>
      </c>
      <c r="U119" s="305"/>
      <c r="X119" s="138"/>
      <c r="Y119" s="305"/>
      <c r="BF119" s="166">
        <f>BG119/(1+T3_CAF_TX_TVA)</f>
        <v>0</v>
      </c>
      <c r="BG119" s="166">
        <f>T3_CAF</f>
        <v>0</v>
      </c>
      <c r="BH119" s="167">
        <f>BG119-BF119</f>
        <v>0</v>
      </c>
      <c r="BM119" s="168" t="e">
        <f ca="1">IF(AND(T3_1erSIGN&lt;T3_FO,T3_1erSIGN-DEC_APF&lt;BM$3,T3_FO&gt;=BM$3,TRESO!$AE$29&lt;&gt;0),TRESO!$AE$29*T3_CAF_LOTS,HLOOKUP(BM$3-DEC_APF,T3_CONST_TABLE,4))*OFFSET(BM$160,0,-DEC_APF)+(IF(BM$3&gt;=$P119,$F119,0)+IF(BM$3&gt;=$Q119,$H119,0)+IF(BM$3&gt;=$R119,$J119,0)+IF(BM$3&gt;=$S119,$L119,0)+IF(BM$3&gt;=$T119,$N119,0)+IF(BM$3&gt;=$P120,$F120,0)+IF(BM$3&gt;=$Q120,$H120,0)+IF(BM$3&gt;=$R120,$J120,0)+IF(BM$3&gt;=$S120,$L120,0)+IF(BM$3&gt;=$T120,$N120,0))*T3_CAF</f>
        <v>#VALUE!</v>
      </c>
      <c r="BN119" s="168" t="e">
        <f ca="1">IF(AND(T3_1erSIGN&lt;T3_FO,T3_1erSIGN-DEC_APF&lt;BN$3,T3_FO&gt;=BN$3,TRESO!$AE$29&lt;&gt;0),TRESO!$AE$29*T3_CAF_LOTS,HLOOKUP(BN$3-DEC_APF,T3_CONST_TABLE,4))*OFFSET(BN$160,0,-DEC_APF)+(IF(BN$3&gt;=$P119,$F119,0)+IF(BN$3&gt;=$Q119,$H119,0)+IF(BN$3&gt;=$R119,$J119,0)+IF(BN$3&gt;=$S119,$L119,0)+IF(BN$3&gt;=$T119,$N119,0)+IF(BN$3&gt;=$P120,$F120,0)+IF(BN$3&gt;=$Q120,$H120,0)+IF(BN$3&gt;=$R120,$J120,0)+IF(BN$3&gt;=$S120,$L120,0)+IF(BN$3&gt;=$T120,$N120,0))*T3_CAF</f>
        <v>#VALUE!</v>
      </c>
      <c r="BO119" s="168"/>
      <c r="BP119" s="168"/>
      <c r="BQ119" s="168"/>
      <c r="BR119" s="168"/>
      <c r="BS119" s="168"/>
      <c r="BT119" s="168"/>
      <c r="BU119" s="168"/>
      <c r="BV119" s="168"/>
      <c r="BW119" s="168"/>
      <c r="BX119" s="168"/>
      <c r="BY119" s="168"/>
      <c r="BZ119" s="168"/>
      <c r="CA119" s="168"/>
      <c r="CB119" s="168"/>
      <c r="CC119" s="168"/>
      <c r="CD119" s="168"/>
      <c r="CE119" s="168"/>
      <c r="CF119" s="168"/>
      <c r="CG119" s="168"/>
      <c r="CH119" s="168"/>
      <c r="CI119" s="168"/>
      <c r="CJ119" s="168"/>
      <c r="CK119" s="168"/>
      <c r="CL119" s="168"/>
      <c r="CM119" s="168"/>
      <c r="CN119" s="168"/>
      <c r="CO119" s="168"/>
      <c r="CP119" s="168"/>
      <c r="CQ119" s="168"/>
      <c r="CR119" s="168"/>
      <c r="CS119" s="168"/>
      <c r="CT119" s="168"/>
      <c r="CU119" s="168"/>
      <c r="CV119" s="168"/>
      <c r="CW119" s="168"/>
      <c r="CX119" s="168"/>
      <c r="CY119" s="168"/>
      <c r="CZ119" s="168"/>
      <c r="DA119" s="168"/>
      <c r="DB119" s="168"/>
      <c r="DC119" s="168"/>
      <c r="DD119" s="168"/>
      <c r="DE119" s="168"/>
      <c r="DF119" s="168"/>
      <c r="DG119" s="168"/>
      <c r="DH119" s="168"/>
      <c r="DI119" s="168"/>
      <c r="DJ119" s="168"/>
      <c r="DK119" s="168"/>
      <c r="DL119" s="168"/>
      <c r="DM119" s="168"/>
      <c r="DN119" s="168"/>
      <c r="DO119" s="168"/>
      <c r="DP119" s="168"/>
      <c r="DQ119" s="168"/>
      <c r="DR119" s="168"/>
      <c r="DS119" s="168"/>
      <c r="DT119" s="168"/>
      <c r="DU119" s="168"/>
      <c r="DV119" s="168"/>
      <c r="DW119" s="168"/>
      <c r="DX119" s="168"/>
      <c r="DY119" s="168"/>
      <c r="DZ119" s="168"/>
      <c r="EA119" s="168"/>
      <c r="EB119" s="168"/>
      <c r="EC119" s="168"/>
      <c r="ED119" s="168"/>
      <c r="EE119" s="168"/>
      <c r="EF119" s="168"/>
      <c r="EG119" s="168"/>
      <c r="EH119" s="168"/>
      <c r="EI119" s="168"/>
      <c r="EJ119" s="168"/>
      <c r="EK119" s="168"/>
      <c r="EL119" s="168"/>
      <c r="EM119" s="168"/>
      <c r="EN119" s="168"/>
      <c r="EO119" s="168"/>
      <c r="EP119" s="168"/>
      <c r="EQ119" s="168"/>
      <c r="ER119" s="168"/>
      <c r="ES119" s="168"/>
      <c r="ET119" s="168"/>
      <c r="EU119" s="168"/>
      <c r="EV119" s="168"/>
      <c r="EW119" s="168"/>
      <c r="EX119" s="168"/>
      <c r="EY119" s="168"/>
      <c r="EZ119" s="168"/>
      <c r="FA119" s="168"/>
      <c r="FB119" s="168"/>
      <c r="FC119" s="168"/>
      <c r="FD119" s="168"/>
      <c r="FE119" s="168"/>
      <c r="FF119" s="168"/>
      <c r="FG119" s="168"/>
      <c r="FH119" s="168"/>
      <c r="FI119" s="168"/>
      <c r="FJ119" s="168"/>
      <c r="FK119" s="168"/>
      <c r="FL119" s="168"/>
      <c r="FM119" s="168"/>
      <c r="FN119" s="168"/>
      <c r="FO119" s="168"/>
      <c r="FP119" s="168"/>
      <c r="FQ119" s="168"/>
      <c r="FR119" s="168"/>
      <c r="FS119" s="168"/>
      <c r="FT119" s="168"/>
      <c r="FU119" s="168"/>
      <c r="FV119" s="168"/>
      <c r="FW119" s="168"/>
      <c r="FX119" s="168"/>
      <c r="FY119" s="168"/>
      <c r="FZ119" s="168"/>
      <c r="GA119" s="168"/>
      <c r="GB119" s="168"/>
      <c r="GC119" s="168"/>
    </row>
    <row r="120" spans="1:185" ht="13.8" thickBot="1">
      <c r="A120" s="155"/>
      <c r="B120" s="290"/>
      <c r="C120" s="344" t="s">
        <v>53</v>
      </c>
      <c r="D120" s="321" t="s">
        <v>113</v>
      </c>
      <c r="E120" s="322"/>
      <c r="F120" s="323"/>
      <c r="G120" s="324"/>
      <c r="H120" s="323"/>
      <c r="I120" s="324"/>
      <c r="J120" s="323"/>
      <c r="K120" s="325"/>
      <c r="L120" s="323"/>
      <c r="M120" s="325"/>
      <c r="N120" s="323"/>
      <c r="P120" s="341">
        <f t="shared" si="151"/>
        <v>0</v>
      </c>
      <c r="Q120" s="342">
        <f t="shared" si="152"/>
        <v>0</v>
      </c>
      <c r="R120" s="237">
        <f t="shared" si="153"/>
        <v>0</v>
      </c>
      <c r="S120" s="237">
        <f t="shared" si="154"/>
        <v>0</v>
      </c>
      <c r="T120" s="343">
        <f t="shared" si="155"/>
        <v>0</v>
      </c>
      <c r="U120" s="305"/>
      <c r="X120" s="138"/>
      <c r="Y120" s="305"/>
      <c r="BF120" s="166"/>
      <c r="BG120" s="166"/>
      <c r="BH120" s="167"/>
      <c r="BM120" s="168"/>
      <c r="BN120" s="169"/>
      <c r="BO120" s="169"/>
      <c r="BP120" s="169"/>
      <c r="BQ120" s="169"/>
      <c r="BR120" s="169"/>
      <c r="BS120" s="169"/>
      <c r="BT120" s="169"/>
      <c r="BU120" s="169"/>
      <c r="BV120" s="169"/>
      <c r="BW120" s="169"/>
      <c r="BX120" s="169"/>
      <c r="BY120" s="169"/>
      <c r="BZ120" s="169"/>
      <c r="CA120" s="169"/>
      <c r="CB120" s="169"/>
      <c r="CC120" s="169"/>
      <c r="CD120" s="169"/>
      <c r="CE120" s="169"/>
      <c r="CF120" s="169"/>
      <c r="CG120" s="169"/>
      <c r="CH120" s="169"/>
      <c r="CI120" s="169"/>
      <c r="CJ120" s="169"/>
      <c r="CK120" s="169"/>
      <c r="CL120" s="169"/>
      <c r="CM120" s="169"/>
      <c r="CN120" s="169"/>
      <c r="CO120" s="169"/>
      <c r="CP120" s="169"/>
      <c r="CQ120" s="169"/>
      <c r="CR120" s="169"/>
      <c r="CS120" s="169"/>
      <c r="CT120" s="169"/>
      <c r="CU120" s="169"/>
      <c r="CV120" s="169"/>
      <c r="CW120" s="169"/>
      <c r="CX120" s="169"/>
      <c r="CY120" s="169"/>
      <c r="CZ120" s="169"/>
      <c r="DA120" s="169"/>
      <c r="DB120" s="169"/>
      <c r="DC120" s="169"/>
      <c r="DD120" s="169"/>
      <c r="DE120" s="169"/>
      <c r="DF120" s="169"/>
      <c r="DG120" s="169"/>
      <c r="DH120" s="169"/>
      <c r="DI120" s="169"/>
      <c r="DJ120" s="169"/>
      <c r="DK120" s="169"/>
      <c r="DL120" s="169"/>
      <c r="DM120" s="169"/>
      <c r="DN120" s="169"/>
      <c r="DO120" s="169"/>
      <c r="DP120" s="169"/>
      <c r="DQ120" s="169"/>
      <c r="DR120" s="169"/>
      <c r="DS120" s="169"/>
      <c r="DT120" s="169"/>
      <c r="DU120" s="169"/>
      <c r="DV120" s="169"/>
      <c r="DW120" s="169"/>
      <c r="DX120" s="169"/>
      <c r="DY120" s="169"/>
      <c r="DZ120" s="169"/>
      <c r="EA120" s="169"/>
      <c r="EB120" s="169"/>
      <c r="EC120" s="169"/>
      <c r="ED120" s="169"/>
      <c r="EE120" s="169"/>
      <c r="EF120" s="169"/>
      <c r="EG120" s="169"/>
      <c r="EH120" s="169"/>
      <c r="EI120" s="169"/>
      <c r="EJ120" s="169"/>
      <c r="EK120" s="169"/>
      <c r="EL120" s="169"/>
      <c r="EM120" s="169"/>
      <c r="EN120" s="169"/>
      <c r="EO120" s="169"/>
      <c r="EP120" s="169"/>
      <c r="EQ120" s="169"/>
      <c r="ER120" s="169"/>
      <c r="ES120" s="169"/>
      <c r="ET120" s="169"/>
      <c r="EU120" s="169"/>
      <c r="EV120" s="169"/>
      <c r="EW120" s="169"/>
      <c r="EX120" s="169"/>
      <c r="EY120" s="169"/>
      <c r="EZ120" s="169"/>
      <c r="FA120" s="169"/>
      <c r="FB120" s="169"/>
      <c r="FC120" s="169"/>
      <c r="FD120" s="169"/>
      <c r="FE120" s="169"/>
      <c r="FF120" s="169"/>
      <c r="FG120" s="169"/>
      <c r="FH120" s="169"/>
      <c r="FI120" s="169"/>
      <c r="FJ120" s="169"/>
      <c r="FK120" s="169"/>
      <c r="FL120" s="169"/>
      <c r="FM120" s="169"/>
      <c r="FN120" s="169"/>
      <c r="FO120" s="169"/>
      <c r="FP120" s="169"/>
      <c r="FQ120" s="169"/>
      <c r="FR120" s="169"/>
      <c r="FS120" s="169"/>
      <c r="FT120" s="169"/>
      <c r="FU120" s="169"/>
      <c r="FV120" s="169"/>
      <c r="FW120" s="169"/>
      <c r="FX120" s="169"/>
      <c r="FY120" s="169"/>
      <c r="FZ120" s="169"/>
      <c r="GA120" s="169"/>
      <c r="GB120" s="169"/>
      <c r="GC120" s="169"/>
    </row>
    <row r="121" spans="1:185">
      <c r="A121" s="155"/>
      <c r="B121" s="290" t="s">
        <v>55</v>
      </c>
      <c r="C121" s="310"/>
      <c r="D121" s="310"/>
      <c r="E121" s="311"/>
      <c r="F121" s="312"/>
      <c r="G121" s="313"/>
      <c r="H121" s="314"/>
      <c r="I121" s="313"/>
      <c r="J121" s="314"/>
      <c r="K121" s="315"/>
      <c r="L121" s="314"/>
      <c r="M121" s="315"/>
      <c r="N121" s="314"/>
      <c r="P121" s="163">
        <f t="shared" si="151"/>
        <v>0</v>
      </c>
      <c r="Q121" s="164">
        <f t="shared" si="152"/>
        <v>0</v>
      </c>
      <c r="R121" s="164">
        <f t="shared" si="153"/>
        <v>0</v>
      </c>
      <c r="S121" s="164">
        <f t="shared" si="154"/>
        <v>0</v>
      </c>
      <c r="T121" s="165">
        <f t="shared" si="155"/>
        <v>0</v>
      </c>
      <c r="U121" s="305"/>
      <c r="X121" s="138"/>
      <c r="Y121" s="305"/>
      <c r="BF121" s="166">
        <f>BG121/(1+T4_CAF_TX_TVA)</f>
        <v>0</v>
      </c>
      <c r="BG121" s="166">
        <f>T4_CAF</f>
        <v>0</v>
      </c>
      <c r="BH121" s="167">
        <f>BG121-BF121</f>
        <v>0</v>
      </c>
      <c r="BM121" s="168" t="e">
        <f ca="1">IF(AND(T4_1erSIGN&lt;T4_FO,T4_1erSIGN-DEC_APF&lt;BM$3,T4_FO&gt;=BM$3,TRESO!$AE$29&lt;&gt;0),TRESO!$AE$29*T4_CAF_LOTS,HLOOKUP(BM$3-DEC_APF,T4_CONST_TABLE,4))*OFFSET(BM$164,0,-DEC_APF)+(IF(BM$3&gt;=$P121,$F121,0)+IF(BM$3&gt;=$Q121,$H121,0)+IF(BM$3&gt;=$R121,$J121,0)+IF(BM$3&gt;=$S121,$L121,0)+IF(BM$3&gt;=$T121,$N121,0)+IF(BM$3&gt;=$P122,$F122,0)+IF(BM$3&gt;=$Q122,$H122,0)+IF(BM$3&gt;=$R122,$J122,0)+IF(BM$3&gt;=$S122,$L122,0)+IF(BM$3&gt;=$T122,$N122,0))*T4_CAF</f>
        <v>#VALUE!</v>
      </c>
      <c r="BN121" s="168" t="e">
        <f ca="1">IF(AND(T4_1erSIGN&lt;T4_FO,T4_1erSIGN-DEC_APF&lt;BN$3,T4_FO&gt;=BN$3,TRESO!$AE$29&lt;&gt;0),TRESO!$AE$29*T4_CAF_LOTS,HLOOKUP(BN$3-DEC_APF,T4_CONST_TABLE,4))*OFFSET(BN$164,0,-DEC_APF)+(IF(BN$3&gt;=$P121,$F121,0)+IF(BN$3&gt;=$Q121,$H121,0)+IF(BN$3&gt;=$R121,$J121,0)+IF(BN$3&gt;=$S121,$L121,0)+IF(BN$3&gt;=$T121,$N121,0)+IF(BN$3&gt;=$P122,$F122,0)+IF(BN$3&gt;=$Q122,$H122,0)+IF(BN$3&gt;=$R122,$J122,0)+IF(BN$3&gt;=$S122,$L122,0)+IF(BN$3&gt;=$T122,$N122,0))*T4_CAF</f>
        <v>#VALUE!</v>
      </c>
      <c r="BO121" s="168"/>
      <c r="BP121" s="168"/>
      <c r="BQ121" s="168"/>
      <c r="BR121" s="168"/>
      <c r="BS121" s="168"/>
      <c r="BT121" s="168"/>
      <c r="BU121" s="168"/>
      <c r="BV121" s="168"/>
      <c r="BW121" s="168"/>
      <c r="BX121" s="168"/>
      <c r="BY121" s="168"/>
      <c r="BZ121" s="168"/>
      <c r="CA121" s="168"/>
      <c r="CB121" s="168"/>
      <c r="CC121" s="168"/>
      <c r="CD121" s="168"/>
      <c r="CE121" s="168"/>
      <c r="CF121" s="168"/>
      <c r="CG121" s="168"/>
      <c r="CH121" s="168"/>
      <c r="CI121" s="168"/>
      <c r="CJ121" s="168"/>
      <c r="CK121" s="168"/>
      <c r="CL121" s="168"/>
      <c r="CM121" s="168"/>
      <c r="CN121" s="168"/>
      <c r="CO121" s="168"/>
      <c r="CP121" s="168"/>
      <c r="CQ121" s="168"/>
      <c r="CR121" s="168"/>
      <c r="CS121" s="168"/>
      <c r="CT121" s="168"/>
      <c r="CU121" s="168"/>
      <c r="CV121" s="168"/>
      <c r="CW121" s="168"/>
      <c r="CX121" s="168"/>
      <c r="CY121" s="168"/>
      <c r="CZ121" s="168"/>
      <c r="DA121" s="168"/>
      <c r="DB121" s="168"/>
      <c r="DC121" s="168"/>
      <c r="DD121" s="168"/>
      <c r="DE121" s="168"/>
      <c r="DF121" s="168"/>
      <c r="DG121" s="168"/>
      <c r="DH121" s="168"/>
      <c r="DI121" s="168"/>
      <c r="DJ121" s="168"/>
      <c r="DK121" s="168"/>
      <c r="DL121" s="168"/>
      <c r="DM121" s="168"/>
      <c r="DN121" s="168"/>
      <c r="DO121" s="168"/>
      <c r="DP121" s="168"/>
      <c r="DQ121" s="168"/>
      <c r="DR121" s="168"/>
      <c r="DS121" s="168"/>
      <c r="DT121" s="168"/>
      <c r="DU121" s="168"/>
      <c r="DV121" s="168"/>
      <c r="DW121" s="168"/>
      <c r="DX121" s="168"/>
      <c r="DY121" s="168"/>
      <c r="DZ121" s="168"/>
      <c r="EA121" s="168"/>
      <c r="EB121" s="168"/>
      <c r="EC121" s="168"/>
      <c r="ED121" s="168"/>
      <c r="EE121" s="168"/>
      <c r="EF121" s="168"/>
      <c r="EG121" s="168"/>
      <c r="EH121" s="168"/>
      <c r="EI121" s="168"/>
      <c r="EJ121" s="168"/>
      <c r="EK121" s="168"/>
      <c r="EL121" s="168"/>
      <c r="EM121" s="168"/>
      <c r="EN121" s="168"/>
      <c r="EO121" s="168"/>
      <c r="EP121" s="168"/>
      <c r="EQ121" s="168"/>
      <c r="ER121" s="168"/>
      <c r="ES121" s="168"/>
      <c r="ET121" s="168"/>
      <c r="EU121" s="168"/>
      <c r="EV121" s="168"/>
      <c r="EW121" s="168"/>
      <c r="EX121" s="168"/>
      <c r="EY121" s="168"/>
      <c r="EZ121" s="168"/>
      <c r="FA121" s="168"/>
      <c r="FB121" s="168"/>
      <c r="FC121" s="168"/>
      <c r="FD121" s="168"/>
      <c r="FE121" s="168"/>
      <c r="FF121" s="168"/>
      <c r="FG121" s="168"/>
      <c r="FH121" s="168"/>
      <c r="FI121" s="168"/>
      <c r="FJ121" s="168"/>
      <c r="FK121" s="168"/>
      <c r="FL121" s="168"/>
      <c r="FM121" s="168"/>
      <c r="FN121" s="168"/>
      <c r="FO121" s="168"/>
      <c r="FP121" s="168"/>
      <c r="FQ121" s="168"/>
      <c r="FR121" s="168"/>
      <c r="FS121" s="168"/>
      <c r="FT121" s="168"/>
      <c r="FU121" s="168"/>
      <c r="FV121" s="168"/>
      <c r="FW121" s="168"/>
      <c r="FX121" s="168"/>
      <c r="FY121" s="168"/>
      <c r="FZ121" s="168"/>
      <c r="GA121" s="168"/>
      <c r="GB121" s="168"/>
      <c r="GC121" s="168"/>
    </row>
    <row r="122" spans="1:185" ht="13.8" thickBot="1">
      <c r="A122" s="155"/>
      <c r="B122" s="290"/>
      <c r="C122" s="320" t="s">
        <v>55</v>
      </c>
      <c r="D122" s="321" t="s">
        <v>113</v>
      </c>
      <c r="E122" s="322"/>
      <c r="F122" s="323"/>
      <c r="G122" s="324"/>
      <c r="H122" s="323"/>
      <c r="I122" s="324"/>
      <c r="J122" s="323"/>
      <c r="K122" s="325"/>
      <c r="L122" s="323"/>
      <c r="M122" s="325"/>
      <c r="N122" s="323"/>
      <c r="P122" s="326">
        <f t="shared" si="151"/>
        <v>0</v>
      </c>
      <c r="Q122" s="237">
        <f t="shared" si="152"/>
        <v>0</v>
      </c>
      <c r="R122" s="237">
        <f t="shared" si="153"/>
        <v>0</v>
      </c>
      <c r="S122" s="237">
        <f t="shared" si="154"/>
        <v>0</v>
      </c>
      <c r="T122" s="327">
        <f t="shared" si="155"/>
        <v>0</v>
      </c>
      <c r="U122" s="305"/>
      <c r="X122" s="138"/>
      <c r="Y122" s="305"/>
      <c r="BF122" s="166"/>
      <c r="BG122" s="166"/>
      <c r="BH122" s="167"/>
      <c r="BM122" s="168"/>
      <c r="BN122" s="169"/>
      <c r="BO122" s="169"/>
      <c r="BP122" s="169"/>
      <c r="BQ122" s="169"/>
      <c r="BR122" s="169"/>
      <c r="BS122" s="169"/>
      <c r="BT122" s="169"/>
      <c r="BU122" s="169"/>
      <c r="BV122" s="169"/>
      <c r="BW122" s="169"/>
      <c r="BX122" s="169"/>
      <c r="BY122" s="169"/>
      <c r="BZ122" s="169"/>
      <c r="CA122" s="169"/>
      <c r="CB122" s="169"/>
      <c r="CC122" s="169"/>
      <c r="CD122" s="169"/>
      <c r="CE122" s="169"/>
      <c r="CF122" s="169"/>
      <c r="CG122" s="169"/>
      <c r="CH122" s="169"/>
      <c r="CI122" s="169"/>
      <c r="CJ122" s="169"/>
      <c r="CK122" s="169"/>
      <c r="CL122" s="169"/>
      <c r="CM122" s="169"/>
      <c r="CN122" s="169"/>
      <c r="CO122" s="169"/>
      <c r="CP122" s="169"/>
      <c r="CQ122" s="169"/>
      <c r="CR122" s="169"/>
      <c r="CS122" s="169"/>
      <c r="CT122" s="169"/>
      <c r="CU122" s="169"/>
      <c r="CV122" s="169"/>
      <c r="CW122" s="169"/>
      <c r="CX122" s="169"/>
      <c r="CY122" s="169"/>
      <c r="CZ122" s="169"/>
      <c r="DA122" s="169"/>
      <c r="DB122" s="169"/>
      <c r="DC122" s="169"/>
      <c r="DD122" s="169"/>
      <c r="DE122" s="169"/>
      <c r="DF122" s="169"/>
      <c r="DG122" s="169"/>
      <c r="DH122" s="169"/>
      <c r="DI122" s="169"/>
      <c r="DJ122" s="169"/>
      <c r="DK122" s="169"/>
      <c r="DL122" s="169"/>
      <c r="DM122" s="169"/>
      <c r="DN122" s="169"/>
      <c r="DO122" s="169"/>
      <c r="DP122" s="169"/>
      <c r="DQ122" s="169"/>
      <c r="DR122" s="169"/>
      <c r="DS122" s="169"/>
      <c r="DT122" s="169"/>
      <c r="DU122" s="169"/>
      <c r="DV122" s="169"/>
      <c r="DW122" s="169"/>
      <c r="DX122" s="169"/>
      <c r="DY122" s="169"/>
      <c r="DZ122" s="169"/>
      <c r="EA122" s="169"/>
      <c r="EB122" s="169"/>
      <c r="EC122" s="169"/>
      <c r="ED122" s="169"/>
      <c r="EE122" s="169"/>
      <c r="EF122" s="169"/>
      <c r="EG122" s="169"/>
      <c r="EH122" s="169"/>
      <c r="EI122" s="169"/>
      <c r="EJ122" s="169"/>
      <c r="EK122" s="169"/>
      <c r="EL122" s="169"/>
      <c r="EM122" s="169"/>
      <c r="EN122" s="169"/>
      <c r="EO122" s="169"/>
      <c r="EP122" s="169"/>
      <c r="EQ122" s="169"/>
      <c r="ER122" s="169"/>
      <c r="ES122" s="169"/>
      <c r="ET122" s="169"/>
      <c r="EU122" s="169"/>
      <c r="EV122" s="169"/>
      <c r="EW122" s="169"/>
      <c r="EX122" s="169"/>
      <c r="EY122" s="169"/>
      <c r="EZ122" s="169"/>
      <c r="FA122" s="169"/>
      <c r="FB122" s="169"/>
      <c r="FC122" s="169"/>
      <c r="FD122" s="169"/>
      <c r="FE122" s="169"/>
      <c r="FF122" s="169"/>
      <c r="FG122" s="169"/>
      <c r="FH122" s="169"/>
      <c r="FI122" s="169"/>
      <c r="FJ122" s="169"/>
      <c r="FK122" s="169"/>
      <c r="FL122" s="169"/>
      <c r="FM122" s="169"/>
      <c r="FN122" s="169"/>
      <c r="FO122" s="169"/>
      <c r="FP122" s="169"/>
      <c r="FQ122" s="169"/>
      <c r="FR122" s="169"/>
      <c r="FS122" s="169"/>
      <c r="FT122" s="169"/>
      <c r="FU122" s="169"/>
      <c r="FV122" s="169"/>
      <c r="FW122" s="169"/>
      <c r="FX122" s="169"/>
      <c r="FY122" s="169"/>
      <c r="FZ122" s="169"/>
      <c r="GA122" s="169"/>
      <c r="GB122" s="169"/>
      <c r="GC122" s="169"/>
    </row>
    <row r="123" spans="1:185">
      <c r="A123" s="155"/>
      <c r="B123" s="290" t="s">
        <v>57</v>
      </c>
      <c r="C123" s="331"/>
      <c r="D123" s="223"/>
      <c r="E123" s="332"/>
      <c r="F123" s="333"/>
      <c r="G123" s="334"/>
      <c r="H123" s="333"/>
      <c r="I123" s="334"/>
      <c r="J123" s="333"/>
      <c r="K123" s="335"/>
      <c r="L123" s="333"/>
      <c r="M123" s="335"/>
      <c r="N123" s="333"/>
      <c r="P123" s="336">
        <f t="shared" si="151"/>
        <v>0</v>
      </c>
      <c r="Q123" s="337">
        <f t="shared" si="152"/>
        <v>0</v>
      </c>
      <c r="R123" s="132">
        <f t="shared" si="153"/>
        <v>0</v>
      </c>
      <c r="S123" s="132">
        <f t="shared" si="154"/>
        <v>0</v>
      </c>
      <c r="T123" s="271">
        <f t="shared" si="155"/>
        <v>0</v>
      </c>
      <c r="U123" s="305"/>
      <c r="X123" s="138"/>
      <c r="Y123" s="305"/>
      <c r="BF123" s="166">
        <f>BG123/(1+T5_CAF_TX_TVA)</f>
        <v>0</v>
      </c>
      <c r="BG123" s="166">
        <f>T5_CAF</f>
        <v>0</v>
      </c>
      <c r="BH123" s="167">
        <f>BG123-BF123</f>
        <v>0</v>
      </c>
      <c r="BM123" s="168" t="e">
        <f ca="1">IF(AND(T5_1erSIGN&lt;T5_FO,T5_1erSIGN-DEC_APF&lt;BM$3,T5_FO&gt;=BM$3,TRESO!$AE$29&lt;&gt;0),TRESO!$AE$29*T5_CAF_LOTS,HLOOKUP(BM$3-DEC_APF,T5_CONST_TABLE,4))*OFFSET(BM$168,0,-DEC_APF)+(IF(BM$3&gt;=$P123,$F123,0)+IF(BM$3&gt;=$Q123,$H123,0)+IF(BM$3&gt;=$R123,$J123,0)+IF(BM$3&gt;=$S123,$L123,0)+IF(BM$3&gt;=$T123,$N123,0)+IF(BM$3&gt;=$P124,$F124,0)+IF(BM$3&gt;=$Q124,$H124,0)+IF(BM$3&gt;=$R124,$J124,0)+IF(BM$3&gt;=$S124,$L124,0)+IF(BM$3&gt;=$T124,$N124,0))*T5_CAF</f>
        <v>#VALUE!</v>
      </c>
      <c r="BN123" s="168" t="e">
        <f ca="1">IF(AND(T5_1erSIGN&lt;T5_FO,T5_1erSIGN-DEC_APF&lt;BN$3,T5_FO&gt;=BN$3,TRESO!$AE$29&lt;&gt;0),TRESO!$AE$29*T5_CAF_LOTS,HLOOKUP(BN$3-DEC_APF,T5_CONST_TABLE,4))*OFFSET(BN$168,0,-DEC_APF)+(IF(BN$3&gt;=$P123,$F123,0)+IF(BN$3&gt;=$Q123,$H123,0)+IF(BN$3&gt;=$R123,$J123,0)+IF(BN$3&gt;=$S123,$L123,0)+IF(BN$3&gt;=$T123,$N123,0)+IF(BN$3&gt;=$P124,$F124,0)+IF(BN$3&gt;=$Q124,$H124,0)+IF(BN$3&gt;=$R124,$J124,0)+IF(BN$3&gt;=$S124,$L124,0)+IF(BN$3&gt;=$T124,$N124,0))*T5_CAF</f>
        <v>#VALUE!</v>
      </c>
      <c r="BO123" s="168"/>
      <c r="BP123" s="168"/>
      <c r="BQ123" s="168"/>
      <c r="BR123" s="168"/>
      <c r="BS123" s="168"/>
      <c r="BT123" s="168"/>
      <c r="BU123" s="168"/>
      <c r="BV123" s="168"/>
      <c r="BW123" s="168"/>
      <c r="BX123" s="168"/>
      <c r="BY123" s="168"/>
      <c r="BZ123" s="168"/>
      <c r="CA123" s="168"/>
      <c r="CB123" s="168"/>
      <c r="CC123" s="168"/>
      <c r="CD123" s="168"/>
      <c r="CE123" s="168"/>
      <c r="CF123" s="168"/>
      <c r="CG123" s="168"/>
      <c r="CH123" s="168"/>
      <c r="CI123" s="168"/>
      <c r="CJ123" s="168"/>
      <c r="CK123" s="168"/>
      <c r="CL123" s="168"/>
      <c r="CM123" s="168"/>
      <c r="CN123" s="168"/>
      <c r="CO123" s="168"/>
      <c r="CP123" s="168"/>
      <c r="CQ123" s="168"/>
      <c r="CR123" s="168"/>
      <c r="CS123" s="168"/>
      <c r="CT123" s="168"/>
      <c r="CU123" s="168"/>
      <c r="CV123" s="168"/>
      <c r="CW123" s="168"/>
      <c r="CX123" s="168"/>
      <c r="CY123" s="168"/>
      <c r="CZ123" s="168"/>
      <c r="DA123" s="168"/>
      <c r="DB123" s="168"/>
      <c r="DC123" s="168"/>
      <c r="DD123" s="168"/>
      <c r="DE123" s="168"/>
      <c r="DF123" s="168"/>
      <c r="DG123" s="168"/>
      <c r="DH123" s="168"/>
      <c r="DI123" s="168"/>
      <c r="DJ123" s="168"/>
      <c r="DK123" s="168"/>
      <c r="DL123" s="168"/>
      <c r="DM123" s="168"/>
      <c r="DN123" s="168"/>
      <c r="DO123" s="168"/>
      <c r="DP123" s="168"/>
      <c r="DQ123" s="168"/>
      <c r="DR123" s="168"/>
      <c r="DS123" s="168"/>
      <c r="DT123" s="168"/>
      <c r="DU123" s="168"/>
      <c r="DV123" s="168"/>
      <c r="DW123" s="168"/>
      <c r="DX123" s="168"/>
      <c r="DY123" s="168"/>
      <c r="DZ123" s="168"/>
      <c r="EA123" s="168"/>
      <c r="EB123" s="168"/>
      <c r="EC123" s="168"/>
      <c r="ED123" s="168"/>
      <c r="EE123" s="168"/>
      <c r="EF123" s="168"/>
      <c r="EG123" s="168"/>
      <c r="EH123" s="168"/>
      <c r="EI123" s="168"/>
      <c r="EJ123" s="168"/>
      <c r="EK123" s="168"/>
      <c r="EL123" s="168"/>
      <c r="EM123" s="168"/>
      <c r="EN123" s="168"/>
      <c r="EO123" s="168"/>
      <c r="EP123" s="168"/>
      <c r="EQ123" s="168"/>
      <c r="ER123" s="168"/>
      <c r="ES123" s="168"/>
      <c r="ET123" s="168"/>
      <c r="EU123" s="168"/>
      <c r="EV123" s="168"/>
      <c r="EW123" s="168"/>
      <c r="EX123" s="168"/>
      <c r="EY123" s="168"/>
      <c r="EZ123" s="168"/>
      <c r="FA123" s="168"/>
      <c r="FB123" s="168"/>
      <c r="FC123" s="168"/>
      <c r="FD123" s="168"/>
      <c r="FE123" s="168"/>
      <c r="FF123" s="168"/>
      <c r="FG123" s="168"/>
      <c r="FH123" s="168"/>
      <c r="FI123" s="168"/>
      <c r="FJ123" s="168"/>
      <c r="FK123" s="168"/>
      <c r="FL123" s="168"/>
      <c r="FM123" s="168"/>
      <c r="FN123" s="168"/>
      <c r="FO123" s="168"/>
      <c r="FP123" s="168"/>
      <c r="FQ123" s="168"/>
      <c r="FR123" s="168"/>
      <c r="FS123" s="168"/>
      <c r="FT123" s="168"/>
      <c r="FU123" s="168"/>
      <c r="FV123" s="168"/>
      <c r="FW123" s="168"/>
      <c r="FX123" s="168"/>
      <c r="FY123" s="168"/>
      <c r="FZ123" s="168"/>
      <c r="GA123" s="168"/>
      <c r="GB123" s="168"/>
      <c r="GC123" s="168"/>
    </row>
    <row r="124" spans="1:185" ht="13.8" thickBot="1">
      <c r="A124" s="155"/>
      <c r="B124" s="290"/>
      <c r="C124" s="320" t="s">
        <v>57</v>
      </c>
      <c r="D124" s="321" t="s">
        <v>113</v>
      </c>
      <c r="E124" s="322"/>
      <c r="F124" s="323"/>
      <c r="G124" s="324"/>
      <c r="H124" s="323"/>
      <c r="I124" s="324"/>
      <c r="J124" s="323"/>
      <c r="K124" s="325"/>
      <c r="L124" s="323"/>
      <c r="M124" s="325"/>
      <c r="N124" s="323"/>
      <c r="P124" s="341">
        <f t="shared" si="151"/>
        <v>0</v>
      </c>
      <c r="Q124" s="342">
        <f t="shared" si="152"/>
        <v>0</v>
      </c>
      <c r="R124" s="237">
        <f t="shared" si="153"/>
        <v>0</v>
      </c>
      <c r="S124" s="237">
        <f t="shared" si="154"/>
        <v>0</v>
      </c>
      <c r="T124" s="343">
        <f t="shared" si="155"/>
        <v>0</v>
      </c>
      <c r="U124" s="305"/>
      <c r="X124" s="138"/>
      <c r="Y124" s="305"/>
      <c r="BF124" s="166"/>
      <c r="BG124" s="166"/>
      <c r="BH124" s="167"/>
      <c r="BM124" s="168"/>
      <c r="BN124" s="169"/>
      <c r="BO124" s="169"/>
      <c r="BP124" s="169"/>
      <c r="BQ124" s="169"/>
      <c r="BR124" s="169"/>
      <c r="BS124" s="169"/>
      <c r="BT124" s="169"/>
      <c r="BU124" s="169"/>
      <c r="BV124" s="169"/>
      <c r="BW124" s="169"/>
      <c r="BX124" s="169"/>
      <c r="BY124" s="169"/>
      <c r="BZ124" s="169"/>
      <c r="CA124" s="169"/>
      <c r="CB124" s="169"/>
      <c r="CC124" s="169"/>
      <c r="CD124" s="169"/>
      <c r="CE124" s="169"/>
      <c r="CF124" s="169"/>
      <c r="CG124" s="169"/>
      <c r="CH124" s="169"/>
      <c r="CI124" s="169"/>
      <c r="CJ124" s="169"/>
      <c r="CK124" s="169"/>
      <c r="CL124" s="169"/>
      <c r="CM124" s="169"/>
      <c r="CN124" s="169"/>
      <c r="CO124" s="169"/>
      <c r="CP124" s="169"/>
      <c r="CQ124" s="169"/>
      <c r="CR124" s="169"/>
      <c r="CS124" s="169"/>
      <c r="CT124" s="169"/>
      <c r="CU124" s="169"/>
      <c r="CV124" s="169"/>
      <c r="CW124" s="169"/>
      <c r="CX124" s="169"/>
      <c r="CY124" s="169"/>
      <c r="CZ124" s="169"/>
      <c r="DA124" s="169"/>
      <c r="DB124" s="169"/>
      <c r="DC124" s="169"/>
      <c r="DD124" s="169"/>
      <c r="DE124" s="169"/>
      <c r="DF124" s="169"/>
      <c r="DG124" s="169"/>
      <c r="DH124" s="169"/>
      <c r="DI124" s="169"/>
      <c r="DJ124" s="169"/>
      <c r="DK124" s="169"/>
      <c r="DL124" s="169"/>
      <c r="DM124" s="169"/>
      <c r="DN124" s="169"/>
      <c r="DO124" s="169"/>
      <c r="DP124" s="169"/>
      <c r="DQ124" s="169"/>
      <c r="DR124" s="169"/>
      <c r="DS124" s="169"/>
      <c r="DT124" s="169"/>
      <c r="DU124" s="169"/>
      <c r="DV124" s="169"/>
      <c r="DW124" s="169"/>
      <c r="DX124" s="169"/>
      <c r="DY124" s="169"/>
      <c r="DZ124" s="169"/>
      <c r="EA124" s="169"/>
      <c r="EB124" s="169"/>
      <c r="EC124" s="169"/>
      <c r="ED124" s="169"/>
      <c r="EE124" s="169"/>
      <c r="EF124" s="169"/>
      <c r="EG124" s="169"/>
      <c r="EH124" s="169"/>
      <c r="EI124" s="169"/>
      <c r="EJ124" s="169"/>
      <c r="EK124" s="169"/>
      <c r="EL124" s="169"/>
      <c r="EM124" s="169"/>
      <c r="EN124" s="169"/>
      <c r="EO124" s="169"/>
      <c r="EP124" s="169"/>
      <c r="EQ124" s="169"/>
      <c r="ER124" s="169"/>
      <c r="ES124" s="169"/>
      <c r="ET124" s="169"/>
      <c r="EU124" s="169"/>
      <c r="EV124" s="169"/>
      <c r="EW124" s="169"/>
      <c r="EX124" s="169"/>
      <c r="EY124" s="169"/>
      <c r="EZ124" s="169"/>
      <c r="FA124" s="169"/>
      <c r="FB124" s="169"/>
      <c r="FC124" s="169"/>
      <c r="FD124" s="169"/>
      <c r="FE124" s="169"/>
      <c r="FF124" s="169"/>
      <c r="FG124" s="169"/>
      <c r="FH124" s="169"/>
      <c r="FI124" s="169"/>
      <c r="FJ124" s="169"/>
      <c r="FK124" s="169"/>
      <c r="FL124" s="169"/>
      <c r="FM124" s="169"/>
      <c r="FN124" s="169"/>
      <c r="FO124" s="169"/>
      <c r="FP124" s="169"/>
      <c r="FQ124" s="169"/>
      <c r="FR124" s="169"/>
      <c r="FS124" s="169"/>
      <c r="FT124" s="169"/>
      <c r="FU124" s="169"/>
      <c r="FV124" s="169"/>
      <c r="FW124" s="169"/>
      <c r="FX124" s="169"/>
      <c r="FY124" s="169"/>
      <c r="FZ124" s="169"/>
      <c r="GA124" s="169"/>
      <c r="GB124" s="169"/>
      <c r="GC124" s="169"/>
    </row>
    <row r="125" spans="1:185">
      <c r="A125" s="155"/>
      <c r="B125" s="290" t="s">
        <v>59</v>
      </c>
      <c r="C125" s="331"/>
      <c r="D125" s="223"/>
      <c r="E125" s="332"/>
      <c r="F125" s="333"/>
      <c r="G125" s="334"/>
      <c r="H125" s="333"/>
      <c r="I125" s="334"/>
      <c r="J125" s="333"/>
      <c r="K125" s="335"/>
      <c r="L125" s="333"/>
      <c r="M125" s="335"/>
      <c r="N125" s="333"/>
      <c r="P125" s="336">
        <f t="shared" si="151"/>
        <v>0</v>
      </c>
      <c r="Q125" s="337">
        <f t="shared" si="152"/>
        <v>0</v>
      </c>
      <c r="R125" s="132">
        <f t="shared" si="153"/>
        <v>0</v>
      </c>
      <c r="S125" s="132">
        <f t="shared" si="154"/>
        <v>0</v>
      </c>
      <c r="T125" s="271">
        <f t="shared" si="155"/>
        <v>0</v>
      </c>
      <c r="U125" s="305"/>
      <c r="X125" s="138"/>
      <c r="Y125" s="305"/>
      <c r="BF125" s="166">
        <f>BG125/(1+T6_CAF_TX_TVA)</f>
        <v>0</v>
      </c>
      <c r="BG125" s="166">
        <f>T6_CAF</f>
        <v>0</v>
      </c>
      <c r="BH125" s="167">
        <f>BG125-BF125</f>
        <v>0</v>
      </c>
      <c r="BM125" s="168" t="e">
        <f ca="1">IF(AND(T6_1erSIGN&lt;T6_FO,T6_1erSIGN-DEC_APF&lt;BM$3,T6_FO&gt;=BM$3,TRESO!$AK$29),TRESO!$AE$29*T6_CAF_LOTS,HLOOKUP(BM$3-DEC_APF,T6_CONST_TABLE,4))*OFFSET(BM$172,0,-DEC_APF)+(IF(BM$3&gt;=$P125,$F125,0)+IF(BM$3&gt;=$Q125,$H125,0)+IF(BM$3&gt;=$R125,$J125,0)+IF(BM$3&gt;=$S125,$L125,0)+IF(BM$3&gt;=$T125,$N125,0)+IF(BM$3&gt;=$P126,$F126,0)+IF(BM$3&gt;=$Q126,$H126,0)+IF(BM$3&gt;=$R126,$J126,0)+IF(BM$3&gt;=$S126,$L126,0)+IF(BM$3&gt;=$T126,$N126,0))*T6_CAF</f>
        <v>#VALUE!</v>
      </c>
      <c r="BN125" s="168" t="e">
        <f ca="1">IF(AND(T6_1erSIGN&lt;T6_FO,T6_1erSIGN-DEC_APF&lt;BN$3,T6_FO&gt;=BN$3,TRESO!$AK$29),TRESO!$AE$29*T6_CAF_LOTS,HLOOKUP(BN$3-DEC_APF,T6_CONST_TABLE,4))*OFFSET(BN$172,0,-DEC_APF)+(IF(BN$3&gt;=$P125,$F125,0)+IF(BN$3&gt;=$Q125,$H125,0)+IF(BN$3&gt;=$R125,$J125,0)+IF(BN$3&gt;=$S125,$L125,0)+IF(BN$3&gt;=$T125,$N125,0)+IF(BN$3&gt;=$P126,$F126,0)+IF(BN$3&gt;=$Q126,$H126,0)+IF(BN$3&gt;=$R126,$J126,0)+IF(BN$3&gt;=$S126,$L126,0)+IF(BN$3&gt;=$T126,$N126,0))*T6_CAF</f>
        <v>#VALUE!</v>
      </c>
      <c r="BO125" s="168"/>
      <c r="BP125" s="168"/>
      <c r="BQ125" s="168"/>
      <c r="BR125" s="168"/>
      <c r="BS125" s="168"/>
      <c r="BT125" s="168"/>
      <c r="BU125" s="168"/>
      <c r="BV125" s="168"/>
      <c r="BW125" s="168"/>
      <c r="BX125" s="168"/>
      <c r="BY125" s="168"/>
      <c r="BZ125" s="168"/>
      <c r="CA125" s="168"/>
      <c r="CB125" s="168"/>
      <c r="CC125" s="168"/>
      <c r="CD125" s="168"/>
      <c r="CE125" s="168"/>
      <c r="CF125" s="168"/>
      <c r="CG125" s="168"/>
      <c r="CH125" s="168"/>
      <c r="CI125" s="168"/>
      <c r="CJ125" s="168"/>
      <c r="CK125" s="168"/>
      <c r="CL125" s="168"/>
      <c r="CM125" s="168"/>
      <c r="CN125" s="168"/>
      <c r="CO125" s="168"/>
      <c r="CP125" s="168"/>
      <c r="CQ125" s="168"/>
      <c r="CR125" s="168"/>
      <c r="CS125" s="168"/>
      <c r="CT125" s="168"/>
      <c r="CU125" s="168"/>
      <c r="CV125" s="168"/>
      <c r="CW125" s="168"/>
      <c r="CX125" s="168"/>
      <c r="CY125" s="168"/>
      <c r="CZ125" s="168"/>
      <c r="DA125" s="168"/>
      <c r="DB125" s="168"/>
      <c r="DC125" s="168"/>
      <c r="DD125" s="168"/>
      <c r="DE125" s="168"/>
      <c r="DF125" s="168"/>
      <c r="DG125" s="168"/>
      <c r="DH125" s="168"/>
      <c r="DI125" s="168"/>
      <c r="DJ125" s="168"/>
      <c r="DK125" s="168"/>
      <c r="DL125" s="168"/>
      <c r="DM125" s="168"/>
      <c r="DN125" s="168"/>
      <c r="DO125" s="168"/>
      <c r="DP125" s="168"/>
      <c r="DQ125" s="168"/>
      <c r="DR125" s="168"/>
      <c r="DS125" s="168"/>
      <c r="DT125" s="168"/>
      <c r="DU125" s="168"/>
      <c r="DV125" s="168"/>
      <c r="DW125" s="168"/>
      <c r="DX125" s="168"/>
      <c r="DY125" s="168"/>
      <c r="DZ125" s="168"/>
      <c r="EA125" s="168"/>
      <c r="EB125" s="168"/>
      <c r="EC125" s="168"/>
      <c r="ED125" s="168"/>
      <c r="EE125" s="168"/>
      <c r="EF125" s="168"/>
      <c r="EG125" s="168"/>
      <c r="EH125" s="168"/>
      <c r="EI125" s="168"/>
      <c r="EJ125" s="168"/>
      <c r="EK125" s="168"/>
      <c r="EL125" s="168"/>
      <c r="EM125" s="168"/>
      <c r="EN125" s="168"/>
      <c r="EO125" s="168"/>
      <c r="EP125" s="168"/>
      <c r="EQ125" s="168"/>
      <c r="ER125" s="168"/>
      <c r="ES125" s="168"/>
      <c r="ET125" s="168"/>
      <c r="EU125" s="168"/>
      <c r="EV125" s="168"/>
      <c r="EW125" s="168"/>
      <c r="EX125" s="168"/>
      <c r="EY125" s="168"/>
      <c r="EZ125" s="168"/>
      <c r="FA125" s="168"/>
      <c r="FB125" s="168"/>
      <c r="FC125" s="168"/>
      <c r="FD125" s="168"/>
      <c r="FE125" s="168"/>
      <c r="FF125" s="168"/>
      <c r="FG125" s="168"/>
      <c r="FH125" s="168"/>
      <c r="FI125" s="168"/>
      <c r="FJ125" s="168"/>
      <c r="FK125" s="168"/>
      <c r="FL125" s="168"/>
      <c r="FM125" s="168"/>
      <c r="FN125" s="168"/>
      <c r="FO125" s="168"/>
      <c r="FP125" s="168"/>
      <c r="FQ125" s="168"/>
      <c r="FR125" s="168"/>
      <c r="FS125" s="168"/>
      <c r="FT125" s="168"/>
      <c r="FU125" s="168"/>
      <c r="FV125" s="168"/>
      <c r="FW125" s="168"/>
      <c r="FX125" s="168"/>
      <c r="FY125" s="168"/>
      <c r="FZ125" s="168"/>
      <c r="GA125" s="168"/>
      <c r="GB125" s="168"/>
      <c r="GC125" s="168"/>
    </row>
    <row r="126" spans="1:185" ht="13.8" thickBot="1">
      <c r="A126" s="155"/>
      <c r="B126" s="156"/>
      <c r="C126" s="344" t="s">
        <v>59</v>
      </c>
      <c r="D126" s="321" t="s">
        <v>113</v>
      </c>
      <c r="E126" s="322"/>
      <c r="F126" s="323"/>
      <c r="G126" s="324"/>
      <c r="H126" s="323"/>
      <c r="I126" s="324"/>
      <c r="J126" s="323"/>
      <c r="K126" s="325"/>
      <c r="L126" s="323"/>
      <c r="M126" s="325"/>
      <c r="N126" s="323"/>
      <c r="P126" s="345">
        <f t="shared" si="151"/>
        <v>0</v>
      </c>
      <c r="Q126" s="346">
        <f t="shared" si="152"/>
        <v>0</v>
      </c>
      <c r="R126" s="182">
        <f t="shared" si="153"/>
        <v>0</v>
      </c>
      <c r="S126" s="182">
        <f t="shared" si="154"/>
        <v>0</v>
      </c>
      <c r="T126" s="279">
        <f t="shared" si="155"/>
        <v>0</v>
      </c>
      <c r="U126" s="305"/>
      <c r="X126" s="138"/>
      <c r="Y126" s="305"/>
      <c r="BF126" s="166"/>
      <c r="BG126" s="166"/>
      <c r="BH126" s="167"/>
      <c r="BM126" s="168"/>
      <c r="BN126" s="169"/>
      <c r="BO126" s="169"/>
      <c r="BP126" s="169"/>
      <c r="BQ126" s="169"/>
      <c r="BR126" s="169"/>
      <c r="BS126" s="169"/>
      <c r="BT126" s="169"/>
      <c r="BU126" s="169"/>
      <c r="BV126" s="169"/>
      <c r="BW126" s="169"/>
      <c r="BX126" s="169"/>
      <c r="BY126" s="169"/>
      <c r="BZ126" s="169"/>
      <c r="CA126" s="169"/>
      <c r="CB126" s="169"/>
      <c r="CC126" s="169"/>
      <c r="CD126" s="169"/>
      <c r="CE126" s="169"/>
      <c r="CF126" s="169"/>
      <c r="CG126" s="169"/>
      <c r="CH126" s="169"/>
      <c r="CI126" s="169"/>
      <c r="CJ126" s="169"/>
      <c r="CK126" s="169"/>
      <c r="CL126" s="169"/>
      <c r="CM126" s="169"/>
      <c r="CN126" s="169"/>
      <c r="CO126" s="169"/>
      <c r="CP126" s="169"/>
      <c r="CQ126" s="169"/>
      <c r="CR126" s="169"/>
      <c r="CS126" s="169"/>
      <c r="CT126" s="169"/>
      <c r="CU126" s="169"/>
      <c r="CV126" s="169"/>
      <c r="CW126" s="169"/>
      <c r="CX126" s="169"/>
      <c r="CY126" s="169"/>
      <c r="CZ126" s="169"/>
      <c r="DA126" s="169"/>
      <c r="DB126" s="169"/>
      <c r="DC126" s="169"/>
      <c r="DD126" s="169"/>
      <c r="DE126" s="169"/>
      <c r="DF126" s="169"/>
      <c r="DG126" s="169"/>
      <c r="DH126" s="169"/>
      <c r="DI126" s="169"/>
      <c r="DJ126" s="169"/>
      <c r="DK126" s="169"/>
      <c r="DL126" s="169"/>
      <c r="DM126" s="169"/>
      <c r="DN126" s="169"/>
      <c r="DO126" s="169"/>
      <c r="DP126" s="169"/>
      <c r="DQ126" s="169"/>
      <c r="DR126" s="169"/>
      <c r="DS126" s="169"/>
      <c r="DT126" s="169"/>
      <c r="DU126" s="169"/>
      <c r="DV126" s="169"/>
      <c r="DW126" s="169"/>
      <c r="DX126" s="169"/>
      <c r="DY126" s="169"/>
      <c r="DZ126" s="169"/>
      <c r="EA126" s="169"/>
      <c r="EB126" s="169"/>
      <c r="EC126" s="169"/>
      <c r="ED126" s="169"/>
      <c r="EE126" s="169"/>
      <c r="EF126" s="169"/>
      <c r="EG126" s="169"/>
      <c r="EH126" s="169"/>
      <c r="EI126" s="169"/>
      <c r="EJ126" s="169"/>
      <c r="EK126" s="169"/>
      <c r="EL126" s="169"/>
      <c r="EM126" s="169"/>
      <c r="EN126" s="169"/>
      <c r="EO126" s="169"/>
      <c r="EP126" s="169"/>
      <c r="EQ126" s="169"/>
      <c r="ER126" s="169"/>
      <c r="ES126" s="169"/>
      <c r="ET126" s="169"/>
      <c r="EU126" s="169"/>
      <c r="EV126" s="169"/>
      <c r="EW126" s="169"/>
      <c r="EX126" s="169"/>
      <c r="EY126" s="169"/>
      <c r="EZ126" s="169"/>
      <c r="FA126" s="169"/>
      <c r="FB126" s="169"/>
      <c r="FC126" s="169"/>
      <c r="FD126" s="169"/>
      <c r="FE126" s="169"/>
      <c r="FF126" s="169"/>
      <c r="FG126" s="169"/>
      <c r="FH126" s="169"/>
      <c r="FI126" s="169"/>
      <c r="FJ126" s="169"/>
      <c r="FK126" s="169"/>
      <c r="FL126" s="169"/>
      <c r="FM126" s="169"/>
      <c r="FN126" s="169"/>
      <c r="FO126" s="169"/>
      <c r="FP126" s="169"/>
      <c r="FQ126" s="169"/>
      <c r="FR126" s="169"/>
      <c r="FS126" s="169"/>
      <c r="FT126" s="169"/>
      <c r="FU126" s="169"/>
      <c r="FV126" s="169"/>
      <c r="FW126" s="169"/>
      <c r="FX126" s="169"/>
      <c r="FY126" s="169"/>
      <c r="FZ126" s="169"/>
      <c r="GA126" s="169"/>
      <c r="GB126" s="169"/>
      <c r="GC126" s="169"/>
    </row>
    <row r="127" spans="1:185" ht="13.8" thickBot="1">
      <c r="A127" s="281"/>
      <c r="B127" s="165"/>
      <c r="M127" s="303"/>
      <c r="N127" s="304"/>
      <c r="O127" s="299"/>
      <c r="Q127" s="228"/>
      <c r="R127" s="228"/>
      <c r="T127" s="228"/>
      <c r="U127" s="228"/>
      <c r="W127" s="228"/>
      <c r="X127" s="228"/>
      <c r="Y127" s="228"/>
      <c r="BF127" s="166"/>
      <c r="BG127" s="166"/>
      <c r="BH127" s="167"/>
      <c r="BM127" s="168"/>
      <c r="BN127" s="169"/>
      <c r="BO127" s="169"/>
      <c r="BP127" s="169"/>
      <c r="BQ127" s="169"/>
      <c r="BR127" s="169"/>
      <c r="BS127" s="169"/>
      <c r="BT127" s="169"/>
      <c r="BU127" s="169"/>
      <c r="BV127" s="169"/>
      <c r="BW127" s="169"/>
      <c r="BX127" s="169"/>
      <c r="BY127" s="169"/>
      <c r="BZ127" s="169"/>
      <c r="CA127" s="169"/>
      <c r="CB127" s="169"/>
      <c r="CC127" s="169"/>
      <c r="CD127" s="169"/>
      <c r="CE127" s="169"/>
      <c r="CF127" s="169"/>
      <c r="CG127" s="169"/>
      <c r="CH127" s="169"/>
      <c r="CI127" s="169"/>
      <c r="CJ127" s="169"/>
      <c r="CK127" s="169"/>
      <c r="CL127" s="169"/>
      <c r="CM127" s="169"/>
      <c r="CN127" s="169"/>
      <c r="CO127" s="169"/>
      <c r="CP127" s="169"/>
      <c r="CQ127" s="169"/>
      <c r="CR127" s="169"/>
      <c r="CS127" s="169"/>
      <c r="CT127" s="169"/>
      <c r="CU127" s="169"/>
      <c r="CV127" s="169"/>
      <c r="CW127" s="169"/>
      <c r="CX127" s="169"/>
      <c r="CY127" s="169"/>
      <c r="CZ127" s="169"/>
      <c r="DA127" s="169"/>
      <c r="DB127" s="169"/>
      <c r="DC127" s="169"/>
      <c r="DD127" s="169"/>
      <c r="DE127" s="169"/>
      <c r="DF127" s="169"/>
      <c r="DG127" s="169"/>
      <c r="DH127" s="169"/>
      <c r="DI127" s="169"/>
      <c r="DJ127" s="169"/>
      <c r="DK127" s="169"/>
      <c r="DL127" s="169"/>
      <c r="DM127" s="169"/>
      <c r="DN127" s="169"/>
      <c r="DO127" s="169"/>
      <c r="DP127" s="169"/>
      <c r="DQ127" s="169"/>
      <c r="DR127" s="169"/>
      <c r="DS127" s="169"/>
      <c r="DT127" s="169"/>
      <c r="DU127" s="169"/>
      <c r="DV127" s="169"/>
      <c r="DW127" s="169"/>
      <c r="DX127" s="169"/>
      <c r="DY127" s="169"/>
      <c r="DZ127" s="169"/>
      <c r="EA127" s="169"/>
      <c r="EB127" s="169"/>
      <c r="EC127" s="169"/>
      <c r="ED127" s="169"/>
      <c r="EE127" s="169"/>
      <c r="EF127" s="169"/>
      <c r="EG127" s="169"/>
      <c r="EH127" s="169"/>
      <c r="EI127" s="169"/>
      <c r="EJ127" s="169"/>
      <c r="EK127" s="169"/>
      <c r="EL127" s="169"/>
      <c r="EM127" s="169"/>
      <c r="EN127" s="169"/>
      <c r="EO127" s="169"/>
      <c r="EP127" s="169"/>
      <c r="EQ127" s="169"/>
      <c r="ER127" s="169"/>
      <c r="ES127" s="169"/>
      <c r="ET127" s="169"/>
      <c r="EU127" s="169"/>
      <c r="EV127" s="169"/>
      <c r="EW127" s="169"/>
      <c r="EX127" s="169"/>
      <c r="EY127" s="169"/>
      <c r="EZ127" s="169"/>
      <c r="FA127" s="169"/>
      <c r="FB127" s="169"/>
      <c r="FC127" s="169"/>
      <c r="FD127" s="169"/>
      <c r="FE127" s="169"/>
      <c r="FF127" s="169"/>
      <c r="FG127" s="169"/>
      <c r="FH127" s="169"/>
      <c r="FI127" s="169"/>
      <c r="FJ127" s="169"/>
      <c r="FK127" s="169"/>
      <c r="FL127" s="169"/>
      <c r="FM127" s="169"/>
      <c r="FN127" s="169"/>
      <c r="FO127" s="169"/>
      <c r="FP127" s="169"/>
      <c r="FQ127" s="169"/>
      <c r="FR127" s="169"/>
      <c r="FS127" s="169"/>
      <c r="FT127" s="169"/>
      <c r="FU127" s="169"/>
      <c r="FV127" s="169"/>
      <c r="FW127" s="169"/>
      <c r="FX127" s="169"/>
      <c r="FY127" s="169"/>
      <c r="FZ127" s="169"/>
      <c r="GA127" s="169"/>
      <c r="GB127" s="169"/>
      <c r="GC127" s="169"/>
    </row>
    <row r="128" spans="1:185">
      <c r="A128" s="155" t="s">
        <v>216</v>
      </c>
      <c r="B128" s="156"/>
      <c r="C128" s="157" t="s">
        <v>119</v>
      </c>
      <c r="D128" s="347">
        <f>TRESO!D20</f>
        <v>0</v>
      </c>
      <c r="E128" s="348">
        <f>TRESO!E20</f>
        <v>0</v>
      </c>
      <c r="F128" s="347">
        <f>TRESO!F20</f>
        <v>0</v>
      </c>
      <c r="G128" s="348">
        <f>TRESO!G20</f>
        <v>0</v>
      </c>
      <c r="H128" s="347">
        <f>TRESO!H20</f>
        <v>0</v>
      </c>
      <c r="I128" s="348">
        <f>TRESO!I20</f>
        <v>0</v>
      </c>
      <c r="J128" s="347">
        <f>TRESO!J20</f>
        <v>0</v>
      </c>
      <c r="K128" s="348">
        <f>TRESO!K20</f>
        <v>0</v>
      </c>
      <c r="L128" s="347">
        <f>TRESO!L20</f>
        <v>0</v>
      </c>
      <c r="M128" s="348">
        <f>TRESO!M20</f>
        <v>0</v>
      </c>
      <c r="N128" s="162"/>
      <c r="O128" s="138"/>
      <c r="P128" s="163">
        <f>IF(D128&lt;&gt;0,YEAR(D128)*12+MONTH(D128),0)</f>
        <v>0</v>
      </c>
      <c r="Q128" s="164">
        <f>IF(F128&lt;&gt;0,YEAR(F128)*12+MONTH(F128),0)</f>
        <v>0</v>
      </c>
      <c r="R128" s="164">
        <f>IF(H128&lt;&gt;0,YEAR(H128)*12+MONTH(H128),0)</f>
        <v>0</v>
      </c>
      <c r="S128" s="164">
        <f>IF(J128&lt;&gt;0,YEAR(J128)*12+MONTH(J128),0)</f>
        <v>0</v>
      </c>
      <c r="T128" s="165">
        <f>IF(L128&lt;&gt;0,YEAR(L128)*12+MONTH(L128),0)</f>
        <v>0</v>
      </c>
      <c r="BF128" s="166">
        <v>0</v>
      </c>
      <c r="BG128" s="166">
        <f>AP_MT</f>
        <v>0</v>
      </c>
      <c r="BH128" s="167">
        <f>BG128-BF128</f>
        <v>0</v>
      </c>
      <c r="BM128" s="349" t="e">
        <f>IF(BM$3&gt;=AP_1erVERS_CONV,$E128,0)+IF(BM$3&gt;=$Q128,$G128,0)+IF(BM$3&gt;=$R128,$I128,0)+IF(BM$3&gt;=$S128,$K128,0)+IF(BM$3&gt;=$T128,$M128,0)-IF(BM$3&gt;=$P129,$E129,0)-IF(BM$3&gt;=$Q129,$G129,0)-IF(BM$3&gt;=$R129,$I129,0)-IF(BM$3&gt;=$S129,$K129,0)-IF(BM$3&gt;=$T129,$M129,0)</f>
        <v>#VALUE!</v>
      </c>
      <c r="BN128" s="349" t="e">
        <f>IF(BN$3&gt;=AP_1erVERS_CONV,$E128,0)+IF(BN$3&gt;=$Q128,$G128,0)+IF(BN$3&gt;=$R128,$I128,0)+IF(BN$3&gt;=$S128,$K128,0)+IF(BN$3&gt;=$T128,$M128,0)-IF(BN$3&gt;=$P129,$E129,0)-IF(BN$3&gt;=$Q129,$G129,0)-IF(BN$3&gt;=$R129,$I129,0)-IF(BN$3&gt;=$S129,$K129,0)-IF(BN$3&gt;=$T129,$M129,0)</f>
        <v>#VALUE!</v>
      </c>
      <c r="BO128" s="349"/>
      <c r="BP128" s="349"/>
      <c r="BQ128" s="349"/>
      <c r="BR128" s="349"/>
      <c r="BS128" s="349"/>
      <c r="BT128" s="349"/>
      <c r="BU128" s="349"/>
      <c r="BV128" s="349"/>
      <c r="BW128" s="349"/>
      <c r="BX128" s="349"/>
      <c r="BY128" s="349"/>
      <c r="BZ128" s="349"/>
      <c r="CA128" s="349"/>
      <c r="CB128" s="349"/>
      <c r="CC128" s="349"/>
      <c r="CD128" s="349"/>
      <c r="CE128" s="349"/>
      <c r="CF128" s="349"/>
      <c r="CG128" s="349"/>
      <c r="CH128" s="349"/>
      <c r="CI128" s="349"/>
      <c r="CJ128" s="349"/>
      <c r="CK128" s="349"/>
      <c r="CL128" s="349"/>
      <c r="CM128" s="349"/>
      <c r="CN128" s="349"/>
      <c r="CO128" s="349"/>
      <c r="CP128" s="349"/>
      <c r="CQ128" s="349"/>
      <c r="CR128" s="349"/>
      <c r="CS128" s="349"/>
      <c r="CT128" s="349"/>
      <c r="CU128" s="349"/>
      <c r="CV128" s="349"/>
      <c r="CW128" s="349"/>
      <c r="CX128" s="349"/>
      <c r="CY128" s="349"/>
      <c r="CZ128" s="349"/>
      <c r="DA128" s="349"/>
      <c r="DB128" s="349"/>
      <c r="DC128" s="349"/>
      <c r="DD128" s="349"/>
      <c r="DE128" s="349"/>
      <c r="DF128" s="349"/>
      <c r="DG128" s="349"/>
      <c r="DH128" s="349"/>
      <c r="DI128" s="349"/>
      <c r="DJ128" s="349"/>
      <c r="DK128" s="349"/>
      <c r="DL128" s="349"/>
      <c r="DM128" s="349"/>
      <c r="DN128" s="349"/>
      <c r="DO128" s="349"/>
      <c r="DP128" s="349"/>
      <c r="DQ128" s="349"/>
      <c r="DR128" s="349"/>
      <c r="DS128" s="349"/>
      <c r="DT128" s="349"/>
      <c r="DU128" s="349"/>
      <c r="DV128" s="349"/>
      <c r="DW128" s="349"/>
      <c r="DX128" s="349"/>
      <c r="DY128" s="349"/>
      <c r="DZ128" s="349"/>
      <c r="EA128" s="349"/>
      <c r="EB128" s="349"/>
      <c r="EC128" s="349"/>
      <c r="ED128" s="349"/>
      <c r="EE128" s="349"/>
      <c r="EF128" s="349"/>
      <c r="EG128" s="349"/>
      <c r="EH128" s="349"/>
      <c r="EI128" s="349"/>
      <c r="EJ128" s="349"/>
      <c r="EK128" s="349"/>
      <c r="EL128" s="349"/>
      <c r="EM128" s="349"/>
      <c r="EN128" s="349"/>
      <c r="EO128" s="349"/>
      <c r="EP128" s="349"/>
      <c r="EQ128" s="349"/>
      <c r="ER128" s="349"/>
      <c r="ES128" s="349"/>
      <c r="ET128" s="349"/>
      <c r="EU128" s="349"/>
      <c r="EV128" s="349"/>
      <c r="EW128" s="349"/>
      <c r="EX128" s="349"/>
      <c r="EY128" s="349"/>
      <c r="EZ128" s="349"/>
      <c r="FA128" s="349"/>
      <c r="FB128" s="349"/>
      <c r="FC128" s="349"/>
      <c r="FD128" s="349"/>
      <c r="FE128" s="349"/>
      <c r="FF128" s="349"/>
      <c r="FG128" s="349"/>
      <c r="FH128" s="349"/>
      <c r="FI128" s="349"/>
      <c r="FJ128" s="349"/>
      <c r="FK128" s="349"/>
      <c r="FL128" s="349"/>
      <c r="FM128" s="349"/>
      <c r="FN128" s="349"/>
      <c r="FO128" s="349"/>
      <c r="FP128" s="349"/>
      <c r="FQ128" s="349"/>
      <c r="FR128" s="349"/>
      <c r="FS128" s="349"/>
      <c r="FT128" s="349"/>
      <c r="FU128" s="349"/>
      <c r="FV128" s="349"/>
      <c r="FW128" s="349"/>
      <c r="FX128" s="349"/>
      <c r="FY128" s="349"/>
      <c r="FZ128" s="349"/>
      <c r="GA128" s="349"/>
      <c r="GB128" s="349"/>
      <c r="GC128" s="349"/>
    </row>
    <row r="129" spans="1:185" ht="13.8" thickBot="1">
      <c r="A129" s="175"/>
      <c r="B129" s="176"/>
      <c r="C129" s="285" t="s">
        <v>120</v>
      </c>
      <c r="D129" s="347">
        <f>TRESO!D21</f>
        <v>0</v>
      </c>
      <c r="E129" s="348">
        <f>TRESO!E21</f>
        <v>0</v>
      </c>
      <c r="F129" s="347">
        <f>TRESO!F21</f>
        <v>0</v>
      </c>
      <c r="G129" s="348">
        <f>TRESO!G21</f>
        <v>0</v>
      </c>
      <c r="H129" s="347">
        <f>TRESO!H21</f>
        <v>0</v>
      </c>
      <c r="I129" s="348">
        <f>TRESO!I21</f>
        <v>0</v>
      </c>
      <c r="J129" s="347">
        <f>TRESO!J21</f>
        <v>0</v>
      </c>
      <c r="K129" s="348">
        <f>TRESO!K21</f>
        <v>0</v>
      </c>
      <c r="L129" s="347">
        <f>TRESO!L21</f>
        <v>0</v>
      </c>
      <c r="M129" s="348">
        <f>TRESO!M21</f>
        <v>0</v>
      </c>
      <c r="P129" s="181">
        <f>IF(D129&lt;&gt;0,YEAR(D129)*12+MONTH(D129),0)</f>
        <v>0</v>
      </c>
      <c r="Q129" s="182">
        <f>IF(F129&lt;&gt;0,YEAR(F129)*12+MONTH(F129),0)</f>
        <v>0</v>
      </c>
      <c r="R129" s="182">
        <f>IF(H129&lt;&gt;0,YEAR(H129)*12+MONTH(H129),0)</f>
        <v>0</v>
      </c>
      <c r="S129" s="182">
        <f>IF(J129&lt;&gt;0,YEAR(J129)*12+MONTH(J129),0)</f>
        <v>0</v>
      </c>
      <c r="T129" s="176">
        <f>IF(L129&lt;&gt;0,YEAR(L129)*12+MONTH(L129),0)</f>
        <v>0</v>
      </c>
      <c r="BF129" s="166"/>
      <c r="BG129" s="166"/>
      <c r="BH129" s="167"/>
      <c r="BK129" s="139" t="s">
        <v>224</v>
      </c>
      <c r="BL129" s="139">
        <v>0</v>
      </c>
      <c r="BM129" s="188" t="e">
        <f ca="1">IF(AND(SUM(BM115:BM125)&gt;=CAF,BL129=0),BM$3,BL129)</f>
        <v>#VALUE!</v>
      </c>
      <c r="BN129" s="188" t="e">
        <f ca="1">IF(AND(SUM(BN115:BN125)&gt;=CAF,BM129=0),BN$3,BM129)</f>
        <v>#VALUE!</v>
      </c>
      <c r="BO129" s="188"/>
      <c r="BP129" s="188"/>
      <c r="BQ129" s="188"/>
      <c r="BR129" s="188"/>
      <c r="BS129" s="188"/>
      <c r="BT129" s="188"/>
      <c r="BU129" s="188"/>
      <c r="BV129" s="188"/>
      <c r="BW129" s="188"/>
      <c r="BX129" s="188"/>
      <c r="BY129" s="188"/>
      <c r="BZ129" s="188"/>
      <c r="CA129" s="188"/>
      <c r="CB129" s="188"/>
      <c r="CC129" s="188"/>
      <c r="CD129" s="188"/>
      <c r="CE129" s="188"/>
      <c r="CF129" s="188"/>
      <c r="CG129" s="188"/>
      <c r="CH129" s="188"/>
      <c r="CI129" s="188"/>
      <c r="CJ129" s="188"/>
      <c r="CK129" s="188"/>
      <c r="CL129" s="188"/>
      <c r="CM129" s="188"/>
      <c r="CN129" s="188"/>
      <c r="CO129" s="188"/>
      <c r="CP129" s="188"/>
      <c r="CQ129" s="188"/>
      <c r="CR129" s="188"/>
      <c r="CS129" s="188"/>
      <c r="CT129" s="188"/>
      <c r="CU129" s="188"/>
      <c r="CV129" s="188"/>
      <c r="CW129" s="188"/>
      <c r="CX129" s="188"/>
      <c r="CY129" s="188"/>
      <c r="CZ129" s="188"/>
      <c r="DA129" s="188"/>
      <c r="DB129" s="188"/>
      <c r="DC129" s="188"/>
      <c r="DD129" s="188"/>
      <c r="DE129" s="188"/>
      <c r="DF129" s="188"/>
      <c r="DG129" s="188"/>
      <c r="DH129" s="188"/>
      <c r="DI129" s="188"/>
      <c r="DJ129" s="188"/>
      <c r="DK129" s="188"/>
      <c r="DL129" s="188"/>
      <c r="DM129" s="188"/>
      <c r="DN129" s="188"/>
      <c r="DO129" s="188"/>
      <c r="DP129" s="188"/>
      <c r="DQ129" s="188"/>
      <c r="DR129" s="188"/>
      <c r="DS129" s="188"/>
      <c r="DT129" s="188"/>
      <c r="DU129" s="188"/>
      <c r="DV129" s="188"/>
      <c r="DW129" s="188"/>
      <c r="DX129" s="188"/>
      <c r="DY129" s="188"/>
      <c r="DZ129" s="188"/>
      <c r="EA129" s="188"/>
      <c r="EB129" s="188"/>
      <c r="EC129" s="188"/>
      <c r="ED129" s="188"/>
      <c r="EE129" s="188"/>
      <c r="EF129" s="188"/>
      <c r="EG129" s="188"/>
      <c r="EH129" s="188"/>
      <c r="EI129" s="188"/>
      <c r="EJ129" s="188"/>
      <c r="EK129" s="188"/>
      <c r="EL129" s="188"/>
      <c r="EM129" s="188"/>
      <c r="EN129" s="188"/>
      <c r="EO129" s="188"/>
      <c r="EP129" s="188"/>
      <c r="EQ129" s="188"/>
      <c r="ER129" s="188"/>
      <c r="ES129" s="188"/>
      <c r="ET129" s="188"/>
      <c r="EU129" s="188"/>
      <c r="EV129" s="188"/>
      <c r="EW129" s="188"/>
      <c r="EX129" s="188"/>
      <c r="EY129" s="188"/>
      <c r="EZ129" s="188"/>
      <c r="FA129" s="188"/>
      <c r="FB129" s="188"/>
      <c r="FC129" s="188"/>
      <c r="FD129" s="188"/>
      <c r="FE129" s="188"/>
      <c r="FF129" s="188"/>
      <c r="FG129" s="188"/>
      <c r="FH129" s="188"/>
      <c r="FI129" s="188"/>
      <c r="FJ129" s="188"/>
      <c r="FK129" s="188"/>
      <c r="FL129" s="188"/>
      <c r="FM129" s="188"/>
      <c r="FN129" s="188"/>
      <c r="FO129" s="188"/>
      <c r="FP129" s="188"/>
      <c r="FQ129" s="188"/>
      <c r="FR129" s="188"/>
      <c r="FS129" s="188"/>
      <c r="FT129" s="188"/>
      <c r="FU129" s="188"/>
      <c r="FV129" s="188"/>
      <c r="FW129" s="188"/>
      <c r="FX129" s="188"/>
      <c r="FY129" s="188"/>
      <c r="FZ129" s="188"/>
      <c r="GA129" s="188"/>
      <c r="GB129" s="188"/>
      <c r="GC129" s="188"/>
    </row>
    <row r="130" spans="1:185" ht="13.8" thickBot="1">
      <c r="A130" s="306" t="s">
        <v>121</v>
      </c>
      <c r="B130" s="137"/>
      <c r="BF130" s="232">
        <f>SUM(BF114:BF129)</f>
        <v>0</v>
      </c>
      <c r="BG130" s="232">
        <f>SUM(BG114:BG129)</f>
        <v>0</v>
      </c>
      <c r="BH130" s="232">
        <f>SUM(BH114:BH129)</f>
        <v>0</v>
      </c>
      <c r="BI130" s="138"/>
      <c r="BJ130" s="138"/>
      <c r="BK130" s="138" t="s">
        <v>225</v>
      </c>
      <c r="BL130" s="138">
        <f>GC129</f>
        <v>0</v>
      </c>
      <c r="BM130" s="307" t="e">
        <f ca="1">ROUND(SUM(BM114:BM128),0)</f>
        <v>#VALUE!</v>
      </c>
      <c r="BN130" s="307" t="e">
        <f ca="1">ROUND(SUM(BN114:BN128),0)</f>
        <v>#VALUE!</v>
      </c>
      <c r="BO130" s="307"/>
      <c r="BP130" s="307"/>
      <c r="BQ130" s="307"/>
      <c r="BR130" s="307"/>
      <c r="BS130" s="307"/>
      <c r="BT130" s="307"/>
      <c r="BU130" s="307"/>
      <c r="BV130" s="307"/>
      <c r="BW130" s="307"/>
      <c r="BX130" s="307"/>
      <c r="BY130" s="307"/>
      <c r="BZ130" s="307"/>
      <c r="CA130" s="307"/>
      <c r="CB130" s="307"/>
      <c r="CC130" s="307"/>
      <c r="CD130" s="307"/>
      <c r="CE130" s="307"/>
      <c r="CF130" s="307"/>
      <c r="CG130" s="307"/>
      <c r="CH130" s="307"/>
      <c r="CI130" s="307"/>
      <c r="CJ130" s="307"/>
      <c r="CK130" s="307"/>
      <c r="CL130" s="307"/>
      <c r="CM130" s="307"/>
      <c r="CN130" s="307"/>
      <c r="CO130" s="307"/>
      <c r="CP130" s="307"/>
      <c r="CQ130" s="307"/>
      <c r="CR130" s="307"/>
      <c r="CS130" s="307"/>
      <c r="CT130" s="307"/>
      <c r="CU130" s="307"/>
      <c r="CV130" s="307"/>
      <c r="CW130" s="307"/>
      <c r="CX130" s="307"/>
      <c r="CY130" s="307"/>
      <c r="CZ130" s="307"/>
      <c r="DA130" s="307"/>
      <c r="DB130" s="307"/>
      <c r="DC130" s="307"/>
      <c r="DD130" s="307"/>
      <c r="DE130" s="307"/>
      <c r="DF130" s="307"/>
      <c r="DG130" s="307"/>
      <c r="DH130" s="307"/>
      <c r="DI130" s="307"/>
      <c r="DJ130" s="307"/>
      <c r="DK130" s="307"/>
      <c r="DL130" s="307"/>
      <c r="DM130" s="307"/>
      <c r="DN130" s="307"/>
      <c r="DO130" s="307"/>
      <c r="DP130" s="307"/>
      <c r="DQ130" s="307"/>
      <c r="DR130" s="307"/>
      <c r="DS130" s="307"/>
      <c r="DT130" s="307"/>
      <c r="DU130" s="307"/>
      <c r="DV130" s="307"/>
      <c r="DW130" s="307"/>
      <c r="DX130" s="307"/>
      <c r="DY130" s="307"/>
      <c r="DZ130" s="307"/>
      <c r="EA130" s="307"/>
      <c r="EB130" s="307"/>
      <c r="EC130" s="307"/>
      <c r="ED130" s="307"/>
      <c r="EE130" s="307"/>
      <c r="EF130" s="307"/>
      <c r="EG130" s="307"/>
      <c r="EH130" s="307"/>
      <c r="EI130" s="307"/>
      <c r="EJ130" s="307"/>
      <c r="EK130" s="307"/>
      <c r="EL130" s="307"/>
      <c r="EM130" s="307"/>
      <c r="EN130" s="307"/>
      <c r="EO130" s="307"/>
      <c r="EP130" s="307"/>
      <c r="EQ130" s="307"/>
      <c r="ER130" s="307"/>
      <c r="ES130" s="307"/>
      <c r="ET130" s="307"/>
      <c r="EU130" s="307"/>
      <c r="EV130" s="307"/>
      <c r="EW130" s="307"/>
      <c r="EX130" s="307"/>
      <c r="EY130" s="307"/>
      <c r="EZ130" s="307"/>
      <c r="FA130" s="307"/>
      <c r="FB130" s="307"/>
      <c r="FC130" s="307"/>
      <c r="FD130" s="307"/>
      <c r="FE130" s="307"/>
      <c r="FF130" s="307"/>
      <c r="FG130" s="307"/>
      <c r="FH130" s="307"/>
      <c r="FI130" s="307"/>
      <c r="FJ130" s="307"/>
      <c r="FK130" s="307"/>
      <c r="FL130" s="307"/>
      <c r="FM130" s="307"/>
      <c r="FN130" s="307"/>
      <c r="FO130" s="307"/>
      <c r="FP130" s="307"/>
      <c r="FQ130" s="307"/>
      <c r="FR130" s="307"/>
      <c r="FS130" s="307"/>
      <c r="FT130" s="307"/>
      <c r="FU130" s="307"/>
      <c r="FV130" s="307"/>
      <c r="FW130" s="307"/>
      <c r="FX130" s="307"/>
      <c r="FY130" s="307"/>
      <c r="FZ130" s="307"/>
      <c r="GA130" s="307"/>
      <c r="GB130" s="307"/>
      <c r="GC130" s="307"/>
    </row>
    <row r="131" spans="1:185">
      <c r="A131" s="281"/>
      <c r="B131" s="165"/>
      <c r="BF131" s="220"/>
      <c r="BG131" s="220"/>
      <c r="BH131" s="220"/>
      <c r="BI131" s="138"/>
      <c r="BJ131" s="138"/>
      <c r="BK131" s="138"/>
      <c r="BL131" s="138"/>
      <c r="BM131" s="153"/>
      <c r="BN131" s="154"/>
      <c r="BO131" s="154"/>
      <c r="BP131" s="154"/>
      <c r="BQ131" s="154"/>
      <c r="BR131" s="154"/>
      <c r="BS131" s="154"/>
      <c r="BT131" s="154"/>
      <c r="BU131" s="154"/>
      <c r="BV131" s="154"/>
      <c r="BW131" s="154"/>
      <c r="BX131" s="154"/>
      <c r="BY131" s="154"/>
      <c r="BZ131" s="154"/>
      <c r="CA131" s="154"/>
      <c r="CB131" s="154"/>
      <c r="CC131" s="154"/>
      <c r="CD131" s="154"/>
      <c r="CE131" s="154"/>
      <c r="CF131" s="154"/>
      <c r="CG131" s="154"/>
      <c r="CH131" s="154"/>
      <c r="CI131" s="154"/>
      <c r="CJ131" s="154"/>
      <c r="CK131" s="154"/>
      <c r="CL131" s="154"/>
      <c r="CM131" s="154"/>
      <c r="CN131" s="154"/>
      <c r="CO131" s="154"/>
      <c r="CP131" s="154"/>
      <c r="CQ131" s="154"/>
      <c r="CR131" s="154"/>
      <c r="CS131" s="154"/>
      <c r="CT131" s="154"/>
      <c r="CU131" s="154"/>
      <c r="CV131" s="154"/>
      <c r="CW131" s="154"/>
      <c r="CX131" s="154"/>
      <c r="CY131" s="154"/>
      <c r="CZ131" s="154"/>
      <c r="DA131" s="154"/>
      <c r="DB131" s="154"/>
      <c r="DC131" s="154"/>
      <c r="DD131" s="154"/>
      <c r="DE131" s="154"/>
      <c r="DF131" s="154"/>
      <c r="DG131" s="154"/>
      <c r="DH131" s="154"/>
      <c r="DI131" s="154"/>
      <c r="DJ131" s="154"/>
      <c r="DK131" s="154"/>
      <c r="DL131" s="154"/>
      <c r="DM131" s="154"/>
      <c r="DN131" s="154"/>
      <c r="DO131" s="154"/>
      <c r="DP131" s="154"/>
      <c r="DQ131" s="154"/>
      <c r="DR131" s="154"/>
      <c r="DS131" s="154"/>
      <c r="DT131" s="154"/>
      <c r="DU131" s="154"/>
      <c r="DV131" s="154"/>
      <c r="DW131" s="154"/>
      <c r="DX131" s="154"/>
      <c r="DY131" s="154"/>
      <c r="DZ131" s="154"/>
      <c r="EA131" s="154"/>
      <c r="EB131" s="154"/>
      <c r="EC131" s="154"/>
      <c r="ED131" s="154"/>
      <c r="EE131" s="154"/>
      <c r="EF131" s="154"/>
      <c r="EG131" s="154"/>
      <c r="EH131" s="154"/>
      <c r="EI131" s="154"/>
      <c r="EJ131" s="154"/>
      <c r="EK131" s="154"/>
      <c r="EL131" s="154"/>
      <c r="EM131" s="154"/>
      <c r="EN131" s="154"/>
      <c r="EO131" s="154"/>
      <c r="EP131" s="154"/>
      <c r="EQ131" s="154"/>
      <c r="ER131" s="154"/>
      <c r="ES131" s="154"/>
      <c r="ET131" s="154"/>
      <c r="EU131" s="154"/>
      <c r="EV131" s="154"/>
      <c r="EW131" s="154"/>
      <c r="EX131" s="154"/>
      <c r="EY131" s="154"/>
      <c r="EZ131" s="154"/>
      <c r="FA131" s="154"/>
      <c r="FB131" s="154"/>
      <c r="FC131" s="154"/>
      <c r="FD131" s="154"/>
      <c r="FE131" s="154"/>
      <c r="FF131" s="154"/>
      <c r="FG131" s="154"/>
      <c r="FH131" s="154"/>
      <c r="FI131" s="154"/>
      <c r="FJ131" s="154"/>
      <c r="FK131" s="154"/>
      <c r="FL131" s="154"/>
      <c r="FM131" s="154"/>
      <c r="FN131" s="154"/>
      <c r="FO131" s="154"/>
      <c r="FP131" s="154"/>
      <c r="FQ131" s="154"/>
      <c r="FR131" s="154"/>
      <c r="FS131" s="154"/>
      <c r="FT131" s="154"/>
      <c r="FU131" s="154"/>
      <c r="FV131" s="154"/>
      <c r="FW131" s="154"/>
      <c r="FX131" s="154"/>
      <c r="FY131" s="154"/>
      <c r="FZ131" s="154"/>
      <c r="GA131" s="154"/>
      <c r="GB131" s="154"/>
      <c r="GC131" s="154"/>
    </row>
    <row r="132" spans="1:185">
      <c r="A132" s="155" t="s">
        <v>122</v>
      </c>
      <c r="B132" s="156"/>
      <c r="BF132" s="166"/>
      <c r="BG132" s="166"/>
      <c r="BH132" s="166"/>
      <c r="BI132" s="138"/>
      <c r="BJ132" s="138"/>
      <c r="BK132" s="138"/>
      <c r="BL132" s="138"/>
      <c r="BM132" s="168" t="e">
        <f ca="1">REC-DEP</f>
        <v>#VALUE!</v>
      </c>
      <c r="BN132" s="169" t="e">
        <f ca="1">REC-DEP</f>
        <v>#VALUE!</v>
      </c>
      <c r="BO132" s="169"/>
      <c r="BP132" s="169"/>
      <c r="BQ132" s="169"/>
      <c r="BR132" s="169"/>
      <c r="BS132" s="169"/>
      <c r="BT132" s="169"/>
      <c r="BU132" s="169"/>
      <c r="BV132" s="169"/>
      <c r="BW132" s="169"/>
      <c r="BX132" s="169"/>
      <c r="BY132" s="169"/>
      <c r="BZ132" s="169"/>
      <c r="CA132" s="169"/>
      <c r="CB132" s="169"/>
      <c r="CC132" s="169"/>
      <c r="CD132" s="169"/>
      <c r="CE132" s="169"/>
      <c r="CF132" s="169"/>
      <c r="CG132" s="169"/>
      <c r="CH132" s="169"/>
      <c r="CI132" s="169"/>
      <c r="CJ132" s="169"/>
      <c r="CK132" s="169"/>
      <c r="CL132" s="169"/>
      <c r="CM132" s="169"/>
      <c r="CN132" s="169"/>
      <c r="CO132" s="169"/>
      <c r="CP132" s="169"/>
      <c r="CQ132" s="169"/>
      <c r="CR132" s="169"/>
      <c r="CS132" s="169"/>
      <c r="CT132" s="169"/>
      <c r="CU132" s="169"/>
      <c r="CV132" s="169"/>
      <c r="CW132" s="169"/>
      <c r="CX132" s="169"/>
      <c r="CY132" s="169"/>
      <c r="CZ132" s="169"/>
      <c r="DA132" s="169"/>
      <c r="DB132" s="169"/>
      <c r="DC132" s="169"/>
      <c r="DD132" s="169"/>
      <c r="DE132" s="169"/>
      <c r="DF132" s="169"/>
      <c r="DG132" s="169"/>
      <c r="DH132" s="169"/>
      <c r="DI132" s="169"/>
      <c r="DJ132" s="169"/>
      <c r="DK132" s="169"/>
      <c r="DL132" s="169"/>
      <c r="DM132" s="169"/>
      <c r="DN132" s="169"/>
      <c r="DO132" s="169"/>
      <c r="DP132" s="169"/>
      <c r="DQ132" s="169"/>
      <c r="DR132" s="169"/>
      <c r="DS132" s="169"/>
      <c r="DT132" s="169"/>
      <c r="DU132" s="169"/>
      <c r="DV132" s="169"/>
      <c r="DW132" s="169"/>
      <c r="DX132" s="169"/>
      <c r="DY132" s="169"/>
      <c r="DZ132" s="169"/>
      <c r="EA132" s="169"/>
      <c r="EB132" s="169"/>
      <c r="EC132" s="169"/>
      <c r="ED132" s="169"/>
      <c r="EE132" s="169"/>
      <c r="EF132" s="169"/>
      <c r="EG132" s="169"/>
      <c r="EH132" s="169"/>
      <c r="EI132" s="169"/>
      <c r="EJ132" s="169"/>
      <c r="EK132" s="169"/>
      <c r="EL132" s="169"/>
      <c r="EM132" s="169"/>
      <c r="EN132" s="169"/>
      <c r="EO132" s="169"/>
      <c r="EP132" s="169"/>
      <c r="EQ132" s="169"/>
      <c r="ER132" s="169"/>
      <c r="ES132" s="169"/>
      <c r="ET132" s="169"/>
      <c r="EU132" s="169"/>
      <c r="EV132" s="169"/>
      <c r="EW132" s="169"/>
      <c r="EX132" s="169"/>
      <c r="EY132" s="169"/>
      <c r="EZ132" s="169"/>
      <c r="FA132" s="169"/>
      <c r="FB132" s="169"/>
      <c r="FC132" s="169"/>
      <c r="FD132" s="169"/>
      <c r="FE132" s="169"/>
      <c r="FF132" s="169"/>
      <c r="FG132" s="169"/>
      <c r="FH132" s="169"/>
      <c r="FI132" s="169"/>
      <c r="FJ132" s="169"/>
      <c r="FK132" s="169"/>
      <c r="FL132" s="169"/>
      <c r="FM132" s="169"/>
      <c r="FN132" s="169"/>
      <c r="FO132" s="169"/>
      <c r="FP132" s="169"/>
      <c r="FQ132" s="169"/>
      <c r="FR132" s="169"/>
      <c r="FS132" s="169"/>
      <c r="FT132" s="169"/>
      <c r="FU132" s="169"/>
      <c r="FV132" s="169"/>
      <c r="FW132" s="169"/>
      <c r="FX132" s="169"/>
      <c r="FY132" s="169"/>
      <c r="FZ132" s="169"/>
      <c r="GA132" s="169"/>
      <c r="GB132" s="169"/>
      <c r="GC132" s="169"/>
    </row>
    <row r="133" spans="1:185">
      <c r="A133" s="155"/>
      <c r="B133" s="156"/>
      <c r="E133" s="132" t="s">
        <v>123</v>
      </c>
      <c r="BF133" s="166"/>
      <c r="BG133" s="166"/>
      <c r="BH133" s="166"/>
      <c r="BI133" s="138"/>
      <c r="BJ133" s="138"/>
      <c r="BK133" s="138"/>
      <c r="BL133" s="138"/>
      <c r="BM133" s="168"/>
      <c r="BN133" s="169"/>
      <c r="BO133" s="169"/>
      <c r="BP133" s="169"/>
      <c r="BQ133" s="169"/>
      <c r="BR133" s="169"/>
      <c r="BS133" s="169"/>
      <c r="BT133" s="169"/>
      <c r="BU133" s="169"/>
      <c r="BV133" s="169"/>
      <c r="BW133" s="169"/>
      <c r="BX133" s="169"/>
      <c r="BY133" s="169"/>
      <c r="BZ133" s="169"/>
      <c r="CA133" s="169"/>
      <c r="CB133" s="169"/>
      <c r="CC133" s="169"/>
      <c r="CD133" s="169"/>
      <c r="CE133" s="169"/>
      <c r="CF133" s="169"/>
      <c r="CG133" s="169"/>
      <c r="CH133" s="169"/>
      <c r="CI133" s="169"/>
      <c r="CJ133" s="169"/>
      <c r="CK133" s="169"/>
      <c r="CL133" s="169"/>
      <c r="CM133" s="169"/>
      <c r="CN133" s="169"/>
      <c r="CO133" s="169"/>
      <c r="CP133" s="169"/>
      <c r="CQ133" s="169"/>
      <c r="CR133" s="169"/>
      <c r="CS133" s="169"/>
      <c r="CT133" s="169"/>
      <c r="CU133" s="169"/>
      <c r="CV133" s="169"/>
      <c r="CW133" s="169"/>
      <c r="CX133" s="169"/>
      <c r="CY133" s="169"/>
      <c r="CZ133" s="169"/>
      <c r="DA133" s="169"/>
      <c r="DB133" s="169"/>
      <c r="DC133" s="169"/>
      <c r="DD133" s="169"/>
      <c r="DE133" s="169"/>
      <c r="DF133" s="169"/>
      <c r="DG133" s="169"/>
      <c r="DH133" s="169"/>
      <c r="DI133" s="169"/>
      <c r="DJ133" s="169"/>
      <c r="DK133" s="169"/>
      <c r="DL133" s="169"/>
      <c r="DM133" s="169"/>
      <c r="DN133" s="169"/>
      <c r="DO133" s="169"/>
      <c r="DP133" s="169"/>
      <c r="DQ133" s="169"/>
      <c r="DR133" s="169"/>
      <c r="DS133" s="169"/>
      <c r="DT133" s="169"/>
      <c r="DU133" s="169"/>
      <c r="DV133" s="169"/>
      <c r="DW133" s="169"/>
      <c r="DX133" s="169"/>
      <c r="DY133" s="169"/>
      <c r="DZ133" s="169"/>
      <c r="EA133" s="169"/>
      <c r="EB133" s="169"/>
      <c r="EC133" s="169"/>
      <c r="ED133" s="169"/>
      <c r="EE133" s="169"/>
      <c r="EF133" s="169"/>
      <c r="EG133" s="169"/>
      <c r="EH133" s="169"/>
      <c r="EI133" s="169"/>
      <c r="EJ133" s="169"/>
      <c r="EK133" s="169"/>
      <c r="EL133" s="169"/>
      <c r="EM133" s="169"/>
      <c r="EN133" s="169"/>
      <c r="EO133" s="169"/>
      <c r="EP133" s="169"/>
      <c r="EQ133" s="169"/>
      <c r="ER133" s="169"/>
      <c r="ES133" s="169"/>
      <c r="ET133" s="169"/>
      <c r="EU133" s="169"/>
      <c r="EV133" s="169"/>
      <c r="EW133" s="169"/>
      <c r="EX133" s="169"/>
      <c r="EY133" s="169"/>
      <c r="EZ133" s="169"/>
      <c r="FA133" s="169"/>
      <c r="FB133" s="169"/>
      <c r="FC133" s="169"/>
      <c r="FD133" s="169"/>
      <c r="FE133" s="169"/>
      <c r="FF133" s="169"/>
      <c r="FG133" s="169"/>
      <c r="FH133" s="169"/>
      <c r="FI133" s="169"/>
      <c r="FJ133" s="169"/>
      <c r="FK133" s="169"/>
      <c r="FL133" s="169"/>
      <c r="FM133" s="169"/>
      <c r="FN133" s="169"/>
      <c r="FO133" s="169"/>
      <c r="FP133" s="169"/>
      <c r="FQ133" s="169"/>
      <c r="FR133" s="169"/>
      <c r="FS133" s="169"/>
      <c r="FT133" s="169"/>
      <c r="FU133" s="169"/>
      <c r="FV133" s="169"/>
      <c r="FW133" s="169"/>
      <c r="FX133" s="169"/>
      <c r="FY133" s="169"/>
      <c r="FZ133" s="169"/>
      <c r="GA133" s="169"/>
      <c r="GB133" s="169"/>
      <c r="GC133" s="169"/>
    </row>
    <row r="134" spans="1:185">
      <c r="A134" s="155" t="s">
        <v>124</v>
      </c>
      <c r="B134" s="156"/>
      <c r="D134" s="232">
        <f>FF_INI_BUD*-1</f>
        <v>0</v>
      </c>
      <c r="E134" s="132" t="e">
        <f>YEAR(DATE_DEBUT)*12+MONTH(DATE_DEBUT)</f>
        <v>#VALUE!</v>
      </c>
      <c r="BF134" s="166">
        <f>FF_INI_BUD</f>
        <v>0</v>
      </c>
      <c r="BG134" s="166">
        <f>ROUND(BF134*(1+C134),0)</f>
        <v>0</v>
      </c>
      <c r="BH134" s="167">
        <f>BG134-BF134</f>
        <v>0</v>
      </c>
      <c r="BI134" s="138"/>
      <c r="BJ134" s="138"/>
      <c r="BK134" s="138"/>
      <c r="BL134" s="138"/>
      <c r="BM134" s="168" t="e">
        <f>IF(BM$3&gt;=$E134,$D134,0)</f>
        <v>#VALUE!</v>
      </c>
      <c r="BN134" s="169" t="e">
        <f>IF(BN$3&gt;=$E134,$D134,0)</f>
        <v>#VALUE!</v>
      </c>
      <c r="BO134" s="169"/>
      <c r="BP134" s="169"/>
      <c r="BQ134" s="169"/>
      <c r="BR134" s="169"/>
      <c r="BS134" s="169"/>
      <c r="BT134" s="169"/>
      <c r="BU134" s="169"/>
      <c r="BV134" s="169"/>
      <c r="BW134" s="169"/>
      <c r="BX134" s="169"/>
      <c r="BY134" s="169"/>
      <c r="BZ134" s="169"/>
      <c r="CA134" s="169"/>
      <c r="CB134" s="169"/>
      <c r="CC134" s="169"/>
      <c r="CD134" s="169"/>
      <c r="CE134" s="169"/>
      <c r="CF134" s="169"/>
      <c r="CG134" s="169"/>
      <c r="CH134" s="169"/>
      <c r="CI134" s="169"/>
      <c r="CJ134" s="169"/>
      <c r="CK134" s="169"/>
      <c r="CL134" s="169"/>
      <c r="CM134" s="169"/>
      <c r="CN134" s="169"/>
      <c r="CO134" s="169"/>
      <c r="CP134" s="169"/>
      <c r="CQ134" s="169"/>
      <c r="CR134" s="169"/>
      <c r="CS134" s="169"/>
      <c r="CT134" s="169"/>
      <c r="CU134" s="169"/>
      <c r="CV134" s="169"/>
      <c r="CW134" s="169"/>
      <c r="CX134" s="169"/>
      <c r="CY134" s="169"/>
      <c r="CZ134" s="169"/>
      <c r="DA134" s="169"/>
      <c r="DB134" s="169"/>
      <c r="DC134" s="169"/>
      <c r="DD134" s="169"/>
      <c r="DE134" s="169"/>
      <c r="DF134" s="169"/>
      <c r="DG134" s="169"/>
      <c r="DH134" s="169"/>
      <c r="DI134" s="169"/>
      <c r="DJ134" s="169"/>
      <c r="DK134" s="169"/>
      <c r="DL134" s="169"/>
      <c r="DM134" s="169"/>
      <c r="DN134" s="169"/>
      <c r="DO134" s="169"/>
      <c r="DP134" s="169"/>
      <c r="DQ134" s="169"/>
      <c r="DR134" s="169"/>
      <c r="DS134" s="169"/>
      <c r="DT134" s="169"/>
      <c r="DU134" s="169"/>
      <c r="DV134" s="169"/>
      <c r="DW134" s="169"/>
      <c r="DX134" s="169"/>
      <c r="DY134" s="169"/>
      <c r="DZ134" s="169"/>
      <c r="EA134" s="169"/>
      <c r="EB134" s="169"/>
      <c r="EC134" s="169"/>
      <c r="ED134" s="169"/>
      <c r="EE134" s="169"/>
      <c r="EF134" s="169"/>
      <c r="EG134" s="169"/>
      <c r="EH134" s="169"/>
      <c r="EI134" s="169"/>
      <c r="EJ134" s="169"/>
      <c r="EK134" s="169"/>
      <c r="EL134" s="169"/>
      <c r="EM134" s="169"/>
      <c r="EN134" s="169"/>
      <c r="EO134" s="169"/>
      <c r="EP134" s="169"/>
      <c r="EQ134" s="169"/>
      <c r="ER134" s="169"/>
      <c r="ES134" s="169"/>
      <c r="ET134" s="169"/>
      <c r="EU134" s="169"/>
      <c r="EV134" s="169"/>
      <c r="EW134" s="169"/>
      <c r="EX134" s="169"/>
      <c r="EY134" s="169"/>
      <c r="EZ134" s="169"/>
      <c r="FA134" s="169"/>
      <c r="FB134" s="169"/>
      <c r="FC134" s="169"/>
      <c r="FD134" s="169"/>
      <c r="FE134" s="169"/>
      <c r="FF134" s="169"/>
      <c r="FG134" s="169"/>
      <c r="FH134" s="169"/>
      <c r="FI134" s="169"/>
      <c r="FJ134" s="169"/>
      <c r="FK134" s="169"/>
      <c r="FL134" s="169"/>
      <c r="FM134" s="169"/>
      <c r="FN134" s="169"/>
      <c r="FO134" s="169"/>
      <c r="FP134" s="169"/>
      <c r="FQ134" s="169"/>
      <c r="FR134" s="169"/>
      <c r="FS134" s="169"/>
      <c r="FT134" s="169"/>
      <c r="FU134" s="169"/>
      <c r="FV134" s="169"/>
      <c r="FW134" s="169"/>
      <c r="FX134" s="169"/>
      <c r="FY134" s="169"/>
      <c r="FZ134" s="169"/>
      <c r="GA134" s="169"/>
      <c r="GB134" s="169"/>
      <c r="GC134" s="169"/>
    </row>
    <row r="135" spans="1:185">
      <c r="A135" s="155"/>
      <c r="B135" s="156"/>
      <c r="D135" s="138"/>
      <c r="BF135" s="166"/>
      <c r="BG135" s="166"/>
      <c r="BH135" s="167"/>
      <c r="BI135" s="138"/>
      <c r="BJ135" s="138"/>
      <c r="BK135" s="138"/>
      <c r="BL135" s="138"/>
      <c r="BM135" s="168"/>
      <c r="BN135" s="169"/>
      <c r="BO135" s="169"/>
      <c r="BP135" s="169"/>
      <c r="BQ135" s="169"/>
      <c r="BR135" s="169"/>
      <c r="BS135" s="169"/>
      <c r="BT135" s="169"/>
      <c r="BU135" s="169"/>
      <c r="BV135" s="169"/>
      <c r="BW135" s="169"/>
      <c r="BX135" s="169"/>
      <c r="BY135" s="169"/>
      <c r="BZ135" s="169"/>
      <c r="CA135" s="169"/>
      <c r="CB135" s="169"/>
      <c r="CC135" s="169"/>
      <c r="CD135" s="169"/>
      <c r="CE135" s="169"/>
      <c r="CF135" s="169"/>
      <c r="CG135" s="169"/>
      <c r="CH135" s="169"/>
      <c r="CI135" s="169"/>
      <c r="CJ135" s="169"/>
      <c r="CK135" s="169"/>
      <c r="CL135" s="169"/>
      <c r="CM135" s="169"/>
      <c r="CN135" s="169"/>
      <c r="CO135" s="169"/>
      <c r="CP135" s="169"/>
      <c r="CQ135" s="169"/>
      <c r="CR135" s="169"/>
      <c r="CS135" s="169"/>
      <c r="CT135" s="169"/>
      <c r="CU135" s="169"/>
      <c r="CV135" s="169"/>
      <c r="CW135" s="169"/>
      <c r="CX135" s="169"/>
      <c r="CY135" s="169"/>
      <c r="CZ135" s="169"/>
      <c r="DA135" s="169"/>
      <c r="DB135" s="169"/>
      <c r="DC135" s="169"/>
      <c r="DD135" s="169"/>
      <c r="DE135" s="169"/>
      <c r="DF135" s="169"/>
      <c r="DG135" s="169"/>
      <c r="DH135" s="169"/>
      <c r="DI135" s="169"/>
      <c r="DJ135" s="169"/>
      <c r="DK135" s="169"/>
      <c r="DL135" s="169"/>
      <c r="DM135" s="169"/>
      <c r="DN135" s="169"/>
      <c r="DO135" s="169"/>
      <c r="DP135" s="169"/>
      <c r="DQ135" s="169"/>
      <c r="DR135" s="169"/>
      <c r="DS135" s="169"/>
      <c r="DT135" s="169"/>
      <c r="DU135" s="169"/>
      <c r="DV135" s="169"/>
      <c r="DW135" s="169"/>
      <c r="DX135" s="169"/>
      <c r="DY135" s="169"/>
      <c r="DZ135" s="169"/>
      <c r="EA135" s="169"/>
      <c r="EB135" s="169"/>
      <c r="EC135" s="169"/>
      <c r="ED135" s="169"/>
      <c r="EE135" s="169"/>
      <c r="EF135" s="169"/>
      <c r="EG135" s="169"/>
      <c r="EH135" s="169"/>
      <c r="EI135" s="169"/>
      <c r="EJ135" s="169"/>
      <c r="EK135" s="169"/>
      <c r="EL135" s="169"/>
      <c r="EM135" s="169"/>
      <c r="EN135" s="169"/>
      <c r="EO135" s="169"/>
      <c r="EP135" s="169"/>
      <c r="EQ135" s="169"/>
      <c r="ER135" s="169"/>
      <c r="ES135" s="169"/>
      <c r="ET135" s="169"/>
      <c r="EU135" s="169"/>
      <c r="EV135" s="169"/>
      <c r="EW135" s="169"/>
      <c r="EX135" s="169"/>
      <c r="EY135" s="169"/>
      <c r="EZ135" s="169"/>
      <c r="FA135" s="169"/>
      <c r="FB135" s="169"/>
      <c r="FC135" s="169"/>
      <c r="FD135" s="169"/>
      <c r="FE135" s="169"/>
      <c r="FF135" s="169"/>
      <c r="FG135" s="169"/>
      <c r="FH135" s="169"/>
      <c r="FI135" s="169"/>
      <c r="FJ135" s="169"/>
      <c r="FK135" s="169"/>
      <c r="FL135" s="169"/>
      <c r="FM135" s="169"/>
      <c r="FN135" s="169"/>
      <c r="FO135" s="169"/>
      <c r="FP135" s="169"/>
      <c r="FQ135" s="169"/>
      <c r="FR135" s="169"/>
      <c r="FS135" s="169"/>
      <c r="FT135" s="169"/>
      <c r="FU135" s="169"/>
      <c r="FV135" s="169"/>
      <c r="FW135" s="169"/>
      <c r="FX135" s="169"/>
      <c r="FY135" s="169"/>
      <c r="FZ135" s="169"/>
      <c r="GA135" s="169"/>
      <c r="GB135" s="169"/>
      <c r="GC135" s="169"/>
    </row>
    <row r="136" spans="1:185">
      <c r="A136" s="155" t="s">
        <v>125</v>
      </c>
      <c r="B136" s="156"/>
      <c r="D136" s="232">
        <v>0</v>
      </c>
      <c r="E136" s="132" t="e">
        <f>YEAR(DATE_DEBUT)*12+MONTH(DATE_DEBUT)</f>
        <v>#VALUE!</v>
      </c>
      <c r="BF136" s="166">
        <f>G.F.A</f>
        <v>0</v>
      </c>
      <c r="BG136" s="166">
        <f>ROUND(BF136*(1+C136),0)</f>
        <v>0</v>
      </c>
      <c r="BH136" s="167">
        <f>BG136-BF136</f>
        <v>0</v>
      </c>
      <c r="BI136" s="138"/>
      <c r="BJ136" s="138"/>
      <c r="BK136" s="138"/>
      <c r="BL136" s="138"/>
      <c r="BM136" s="168" t="e">
        <f>IF(BM$3&gt;=$E136,-$D136,0)</f>
        <v>#VALUE!</v>
      </c>
      <c r="BN136" s="169" t="e">
        <f>IF(BN$3&gt;=$E136,-$D136,0)</f>
        <v>#VALUE!</v>
      </c>
      <c r="BO136" s="169"/>
      <c r="BP136" s="169"/>
      <c r="BQ136" s="169"/>
      <c r="BR136" s="169"/>
      <c r="BS136" s="169"/>
      <c r="BT136" s="169"/>
      <c r="BU136" s="169"/>
      <c r="BV136" s="169"/>
      <c r="BW136" s="169"/>
      <c r="BX136" s="169"/>
      <c r="BY136" s="169"/>
      <c r="BZ136" s="169"/>
      <c r="CA136" s="169"/>
      <c r="CB136" s="169"/>
      <c r="CC136" s="169"/>
      <c r="CD136" s="169"/>
      <c r="CE136" s="169"/>
      <c r="CF136" s="169"/>
      <c r="CG136" s="169"/>
      <c r="CH136" s="169"/>
      <c r="CI136" s="169"/>
      <c r="CJ136" s="169"/>
      <c r="CK136" s="169"/>
      <c r="CL136" s="169"/>
      <c r="CM136" s="169"/>
      <c r="CN136" s="169"/>
      <c r="CO136" s="169"/>
      <c r="CP136" s="169"/>
      <c r="CQ136" s="169"/>
      <c r="CR136" s="169"/>
      <c r="CS136" s="169"/>
      <c r="CT136" s="169"/>
      <c r="CU136" s="169"/>
      <c r="CV136" s="169"/>
      <c r="CW136" s="169"/>
      <c r="CX136" s="169"/>
      <c r="CY136" s="169"/>
      <c r="CZ136" s="169"/>
      <c r="DA136" s="169"/>
      <c r="DB136" s="169"/>
      <c r="DC136" s="169"/>
      <c r="DD136" s="169"/>
      <c r="DE136" s="169"/>
      <c r="DF136" s="169"/>
      <c r="DG136" s="169"/>
      <c r="DH136" s="169"/>
      <c r="DI136" s="169"/>
      <c r="DJ136" s="169"/>
      <c r="DK136" s="169"/>
      <c r="DL136" s="169"/>
      <c r="DM136" s="169"/>
      <c r="DN136" s="169"/>
      <c r="DO136" s="169"/>
      <c r="DP136" s="169"/>
      <c r="DQ136" s="169"/>
      <c r="DR136" s="169"/>
      <c r="DS136" s="169"/>
      <c r="DT136" s="169"/>
      <c r="DU136" s="169"/>
      <c r="DV136" s="169"/>
      <c r="DW136" s="169"/>
      <c r="DX136" s="169"/>
      <c r="DY136" s="169"/>
      <c r="DZ136" s="169"/>
      <c r="EA136" s="169"/>
      <c r="EB136" s="169"/>
      <c r="EC136" s="169"/>
      <c r="ED136" s="169"/>
      <c r="EE136" s="169"/>
      <c r="EF136" s="169"/>
      <c r="EG136" s="169"/>
      <c r="EH136" s="169"/>
      <c r="EI136" s="169"/>
      <c r="EJ136" s="169"/>
      <c r="EK136" s="169"/>
      <c r="EL136" s="169"/>
      <c r="EM136" s="169"/>
      <c r="EN136" s="169"/>
      <c r="EO136" s="169"/>
      <c r="EP136" s="169"/>
      <c r="EQ136" s="169"/>
      <c r="ER136" s="169"/>
      <c r="ES136" s="169"/>
      <c r="ET136" s="169"/>
      <c r="EU136" s="169"/>
      <c r="EV136" s="169"/>
      <c r="EW136" s="169"/>
      <c r="EX136" s="169"/>
      <c r="EY136" s="169"/>
      <c r="EZ136" s="169"/>
      <c r="FA136" s="169"/>
      <c r="FB136" s="169"/>
      <c r="FC136" s="169"/>
      <c r="FD136" s="169"/>
      <c r="FE136" s="169"/>
      <c r="FF136" s="169"/>
      <c r="FG136" s="169"/>
      <c r="FH136" s="169"/>
      <c r="FI136" s="169"/>
      <c r="FJ136" s="169"/>
      <c r="FK136" s="169"/>
      <c r="FL136" s="169"/>
      <c r="FM136" s="169"/>
      <c r="FN136" s="169"/>
      <c r="FO136" s="169"/>
      <c r="FP136" s="169"/>
      <c r="FQ136" s="169"/>
      <c r="FR136" s="169"/>
      <c r="FS136" s="169"/>
      <c r="FT136" s="169"/>
      <c r="FU136" s="169"/>
      <c r="FV136" s="169"/>
      <c r="FW136" s="169"/>
      <c r="FX136" s="169"/>
      <c r="FY136" s="169"/>
      <c r="FZ136" s="169"/>
      <c r="GA136" s="169"/>
      <c r="GB136" s="169"/>
      <c r="GC136" s="169"/>
    </row>
    <row r="137" spans="1:185">
      <c r="A137" s="155"/>
      <c r="B137" s="156"/>
      <c r="BF137" s="166"/>
      <c r="BG137" s="166"/>
      <c r="BH137" s="166"/>
      <c r="BI137" s="138"/>
      <c r="BJ137" s="138"/>
      <c r="BK137" s="138"/>
      <c r="BL137" s="138"/>
      <c r="BM137" s="168"/>
      <c r="BN137" s="169"/>
      <c r="BO137" s="169"/>
      <c r="BP137" s="169"/>
      <c r="BQ137" s="169"/>
      <c r="BR137" s="169"/>
      <c r="BS137" s="169"/>
      <c r="BT137" s="169"/>
      <c r="BU137" s="169"/>
      <c r="BV137" s="169"/>
      <c r="BW137" s="169"/>
      <c r="BX137" s="169"/>
      <c r="BY137" s="169"/>
      <c r="BZ137" s="169"/>
      <c r="CA137" s="169"/>
      <c r="CB137" s="169"/>
      <c r="CC137" s="169"/>
      <c r="CD137" s="169"/>
      <c r="CE137" s="169"/>
      <c r="CF137" s="169"/>
      <c r="CG137" s="169"/>
      <c r="CH137" s="169"/>
      <c r="CI137" s="169"/>
      <c r="CJ137" s="169"/>
      <c r="CK137" s="169"/>
      <c r="CL137" s="169"/>
      <c r="CM137" s="169"/>
      <c r="CN137" s="169"/>
      <c r="CO137" s="169"/>
      <c r="CP137" s="169"/>
      <c r="CQ137" s="169"/>
      <c r="CR137" s="169"/>
      <c r="CS137" s="169"/>
      <c r="CT137" s="169"/>
      <c r="CU137" s="169"/>
      <c r="CV137" s="169"/>
      <c r="CW137" s="169"/>
      <c r="CX137" s="169"/>
      <c r="CY137" s="169"/>
      <c r="CZ137" s="169"/>
      <c r="DA137" s="169"/>
      <c r="DB137" s="169"/>
      <c r="DC137" s="169"/>
      <c r="DD137" s="169"/>
      <c r="DE137" s="169"/>
      <c r="DF137" s="169"/>
      <c r="DG137" s="169"/>
      <c r="DH137" s="169"/>
      <c r="DI137" s="169"/>
      <c r="DJ137" s="169"/>
      <c r="DK137" s="169"/>
      <c r="DL137" s="169"/>
      <c r="DM137" s="169"/>
      <c r="DN137" s="169"/>
      <c r="DO137" s="169"/>
      <c r="DP137" s="169"/>
      <c r="DQ137" s="169"/>
      <c r="DR137" s="169"/>
      <c r="DS137" s="169"/>
      <c r="DT137" s="169"/>
      <c r="DU137" s="169"/>
      <c r="DV137" s="169"/>
      <c r="DW137" s="169"/>
      <c r="DX137" s="169"/>
      <c r="DY137" s="169"/>
      <c r="DZ137" s="169"/>
      <c r="EA137" s="169"/>
      <c r="EB137" s="169"/>
      <c r="EC137" s="169"/>
      <c r="ED137" s="169"/>
      <c r="EE137" s="169"/>
      <c r="EF137" s="169"/>
      <c r="EG137" s="169"/>
      <c r="EH137" s="169"/>
      <c r="EI137" s="169"/>
      <c r="EJ137" s="169"/>
      <c r="EK137" s="169"/>
      <c r="EL137" s="169"/>
      <c r="EM137" s="169"/>
      <c r="EN137" s="169"/>
      <c r="EO137" s="169"/>
      <c r="EP137" s="169"/>
      <c r="EQ137" s="169"/>
      <c r="ER137" s="169"/>
      <c r="ES137" s="169"/>
      <c r="ET137" s="169"/>
      <c r="EU137" s="169"/>
      <c r="EV137" s="169"/>
      <c r="EW137" s="169"/>
      <c r="EX137" s="169"/>
      <c r="EY137" s="169"/>
      <c r="EZ137" s="169"/>
      <c r="FA137" s="169"/>
      <c r="FB137" s="169"/>
      <c r="FC137" s="169"/>
      <c r="FD137" s="169"/>
      <c r="FE137" s="169"/>
      <c r="FF137" s="169"/>
      <c r="FG137" s="169"/>
      <c r="FH137" s="169"/>
      <c r="FI137" s="169"/>
      <c r="FJ137" s="169"/>
      <c r="FK137" s="169"/>
      <c r="FL137" s="169"/>
      <c r="FM137" s="169"/>
      <c r="FN137" s="169"/>
      <c r="FO137" s="169"/>
      <c r="FP137" s="169"/>
      <c r="FQ137" s="169"/>
      <c r="FR137" s="169"/>
      <c r="FS137" s="169"/>
      <c r="FT137" s="169"/>
      <c r="FU137" s="169"/>
      <c r="FV137" s="169"/>
      <c r="FW137" s="169"/>
      <c r="FX137" s="169"/>
      <c r="FY137" s="169"/>
      <c r="FZ137" s="169"/>
      <c r="GA137" s="169"/>
      <c r="GB137" s="169"/>
      <c r="GC137" s="169"/>
    </row>
    <row r="138" spans="1:185">
      <c r="A138" s="155" t="s">
        <v>126</v>
      </c>
      <c r="B138" s="156"/>
      <c r="C138" s="157">
        <v>0</v>
      </c>
      <c r="D138" s="347">
        <v>34335</v>
      </c>
      <c r="E138" s="347">
        <v>35125</v>
      </c>
      <c r="F138" s="347">
        <v>35855</v>
      </c>
      <c r="G138" s="347">
        <v>39083</v>
      </c>
      <c r="H138" s="347" t="s">
        <v>169</v>
      </c>
      <c r="I138" s="347"/>
      <c r="J138" s="233"/>
      <c r="P138" s="350">
        <f t="shared" ref="P138:V138" si="156">IF(D138&lt;&gt;"",YEAR(D138)*12+MONTH(D138),53326)</f>
        <v>23929</v>
      </c>
      <c r="Q138" s="350">
        <f t="shared" si="156"/>
        <v>23955</v>
      </c>
      <c r="R138" s="350">
        <f t="shared" si="156"/>
        <v>23979</v>
      </c>
      <c r="S138" s="350">
        <f t="shared" si="156"/>
        <v>24085</v>
      </c>
      <c r="T138" s="350" t="e">
        <f t="shared" si="156"/>
        <v>#VALUE!</v>
      </c>
      <c r="U138" s="350">
        <f t="shared" si="156"/>
        <v>53326</v>
      </c>
      <c r="V138" s="350">
        <f t="shared" si="156"/>
        <v>53326</v>
      </c>
      <c r="BF138" s="166">
        <f>FF_BUD-FF_INI_BUD</f>
        <v>6</v>
      </c>
      <c r="BG138" s="166">
        <f>ROUND(BF138*(1+C138),0)</f>
        <v>6</v>
      </c>
      <c r="BH138" s="167">
        <f>BG138-BF138</f>
        <v>0</v>
      </c>
      <c r="BM138" s="168" t="e">
        <f ca="1">MIN(HLOOKUP(BM$3-DEC_FF,TAUX_FF_PF_TABLE,2)*((OFFSET(BM$142,0,-DEC_FF)+OFFSET(BM$142,0,-DEC_FF-1))/2),0)+BL138</f>
        <v>#VALUE!</v>
      </c>
      <c r="BN138" s="169" t="e">
        <f ca="1">MIN(HLOOKUP(BN$3-DEC_FF,TAUX_FF_PF_TABLE,2)*((OFFSET(BN$142,0,-DEC_FF)+OFFSET(BN$142,0,-DEC_FF-1))/2),0)+BM138</f>
        <v>#VALUE!</v>
      </c>
      <c r="BO138" s="169"/>
      <c r="BP138" s="169"/>
      <c r="BQ138" s="169"/>
      <c r="BR138" s="169"/>
      <c r="BS138" s="169"/>
      <c r="BT138" s="169"/>
      <c r="BU138" s="169"/>
      <c r="BV138" s="169"/>
      <c r="BW138" s="169"/>
      <c r="BX138" s="169"/>
      <c r="BY138" s="169"/>
      <c r="BZ138" s="169"/>
      <c r="CA138" s="169"/>
      <c r="CB138" s="169"/>
      <c r="CC138" s="169"/>
      <c r="CD138" s="169"/>
      <c r="CE138" s="169"/>
      <c r="CF138" s="169"/>
      <c r="CG138" s="169"/>
      <c r="CH138" s="169"/>
      <c r="CI138" s="169"/>
      <c r="CJ138" s="169"/>
      <c r="CK138" s="169"/>
      <c r="CL138" s="169"/>
      <c r="CM138" s="169"/>
      <c r="CN138" s="169"/>
      <c r="CO138" s="169"/>
      <c r="CP138" s="169"/>
      <c r="CQ138" s="169"/>
      <c r="CR138" s="169"/>
      <c r="CS138" s="169"/>
      <c r="CT138" s="169"/>
      <c r="CU138" s="169"/>
      <c r="CV138" s="169"/>
      <c r="CW138" s="169"/>
      <c r="CX138" s="169"/>
      <c r="CY138" s="169"/>
      <c r="CZ138" s="169"/>
      <c r="DA138" s="169"/>
      <c r="DB138" s="169"/>
      <c r="DC138" s="169"/>
      <c r="DD138" s="169"/>
      <c r="DE138" s="169"/>
      <c r="DF138" s="169"/>
      <c r="DG138" s="169"/>
      <c r="DH138" s="169"/>
      <c r="DI138" s="169"/>
      <c r="DJ138" s="169"/>
      <c r="DK138" s="169"/>
      <c r="DL138" s="169"/>
      <c r="DM138" s="169"/>
      <c r="DN138" s="169"/>
      <c r="DO138" s="169"/>
      <c r="DP138" s="169"/>
      <c r="DQ138" s="169"/>
      <c r="DR138" s="169"/>
      <c r="DS138" s="169"/>
      <c r="DT138" s="169"/>
      <c r="DU138" s="169"/>
      <c r="DV138" s="169"/>
      <c r="DW138" s="169"/>
      <c r="DX138" s="169"/>
      <c r="DY138" s="169"/>
      <c r="DZ138" s="169"/>
      <c r="EA138" s="169"/>
      <c r="EB138" s="169"/>
      <c r="EC138" s="169"/>
      <c r="ED138" s="169"/>
      <c r="EE138" s="169"/>
      <c r="EF138" s="169"/>
      <c r="EG138" s="169"/>
      <c r="EH138" s="169"/>
      <c r="EI138" s="169"/>
      <c r="EJ138" s="169"/>
      <c r="EK138" s="169"/>
      <c r="EL138" s="169"/>
      <c r="EM138" s="169"/>
      <c r="EN138" s="169"/>
      <c r="EO138" s="169"/>
      <c r="EP138" s="169"/>
      <c r="EQ138" s="169"/>
      <c r="ER138" s="169"/>
      <c r="ES138" s="169"/>
      <c r="ET138" s="169"/>
      <c r="EU138" s="169"/>
      <c r="EV138" s="169"/>
      <c r="EW138" s="169"/>
      <c r="EX138" s="169"/>
      <c r="EY138" s="169"/>
      <c r="EZ138" s="169"/>
      <c r="FA138" s="169"/>
      <c r="FB138" s="169"/>
      <c r="FC138" s="169"/>
      <c r="FD138" s="169"/>
      <c r="FE138" s="169"/>
      <c r="FF138" s="169"/>
      <c r="FG138" s="169"/>
      <c r="FH138" s="169"/>
      <c r="FI138" s="169"/>
      <c r="FJ138" s="169"/>
      <c r="FK138" s="169"/>
      <c r="FL138" s="169"/>
      <c r="FM138" s="169"/>
      <c r="FN138" s="169"/>
      <c r="FO138" s="169"/>
      <c r="FP138" s="169"/>
      <c r="FQ138" s="169"/>
      <c r="FR138" s="169"/>
      <c r="FS138" s="169"/>
      <c r="FT138" s="169"/>
      <c r="FU138" s="169"/>
      <c r="FV138" s="169"/>
      <c r="FW138" s="169"/>
      <c r="FX138" s="169"/>
      <c r="FY138" s="169"/>
      <c r="FZ138" s="169"/>
      <c r="GA138" s="169"/>
      <c r="GB138" s="169"/>
      <c r="GC138" s="169"/>
    </row>
    <row r="139" spans="1:185">
      <c r="A139" s="155"/>
      <c r="B139" s="156"/>
      <c r="D139" s="351">
        <v>5.7999999999999996E-3</v>
      </c>
      <c r="E139" s="351">
        <v>5.0000000000000001E-3</v>
      </c>
      <c r="F139" s="351">
        <v>4.1999999999999997E-3</v>
      </c>
      <c r="G139" s="351">
        <v>5.4999999999999997E-3</v>
      </c>
      <c r="H139" s="351" t="s">
        <v>169</v>
      </c>
      <c r="I139" s="351"/>
      <c r="J139" s="352"/>
      <c r="P139" s="352">
        <f t="shared" ref="P139:V139" si="157">D139</f>
        <v>5.7999999999999996E-3</v>
      </c>
      <c r="Q139" s="352">
        <f t="shared" si="157"/>
        <v>5.0000000000000001E-3</v>
      </c>
      <c r="R139" s="352">
        <f t="shared" si="157"/>
        <v>4.1999999999999997E-3</v>
      </c>
      <c r="S139" s="352">
        <f t="shared" si="157"/>
        <v>5.4999999999999997E-3</v>
      </c>
      <c r="T139" s="352" t="str">
        <f t="shared" si="157"/>
        <v xml:space="preserve"> </v>
      </c>
      <c r="U139" s="352">
        <f t="shared" si="157"/>
        <v>0</v>
      </c>
      <c r="V139" s="352">
        <f t="shared" si="157"/>
        <v>0</v>
      </c>
      <c r="BF139" s="166"/>
      <c r="BG139" s="166"/>
      <c r="BH139" s="166"/>
      <c r="BI139" s="138"/>
      <c r="BJ139" s="138"/>
      <c r="BK139" s="138"/>
      <c r="BL139" s="138"/>
      <c r="BM139" s="168"/>
      <c r="BN139" s="169"/>
      <c r="BO139" s="169"/>
      <c r="BP139" s="169"/>
      <c r="BQ139" s="169"/>
      <c r="BR139" s="169"/>
      <c r="BS139" s="169"/>
      <c r="BT139" s="169"/>
      <c r="BU139" s="169"/>
      <c r="BV139" s="169"/>
      <c r="BW139" s="169"/>
      <c r="BX139" s="169"/>
      <c r="BY139" s="169"/>
      <c r="BZ139" s="169"/>
      <c r="CA139" s="169"/>
      <c r="CB139" s="169"/>
      <c r="CC139" s="169"/>
      <c r="CD139" s="169"/>
      <c r="CE139" s="169"/>
      <c r="CF139" s="169"/>
      <c r="CG139" s="169"/>
      <c r="CH139" s="169"/>
      <c r="CI139" s="169"/>
      <c r="CJ139" s="169"/>
      <c r="CK139" s="169"/>
      <c r="CL139" s="169"/>
      <c r="CM139" s="169"/>
      <c r="CN139" s="169"/>
      <c r="CO139" s="169"/>
      <c r="CP139" s="169"/>
      <c r="CQ139" s="169"/>
      <c r="CR139" s="169"/>
      <c r="CS139" s="169"/>
      <c r="CT139" s="169"/>
      <c r="CU139" s="169"/>
      <c r="CV139" s="169"/>
      <c r="CW139" s="169"/>
      <c r="CX139" s="169"/>
      <c r="CY139" s="169"/>
      <c r="CZ139" s="169"/>
      <c r="DA139" s="169"/>
      <c r="DB139" s="169"/>
      <c r="DC139" s="169"/>
      <c r="DD139" s="169"/>
      <c r="DE139" s="169"/>
      <c r="DF139" s="169"/>
      <c r="DG139" s="169"/>
      <c r="DH139" s="169"/>
      <c r="DI139" s="169"/>
      <c r="DJ139" s="169"/>
      <c r="DK139" s="169"/>
      <c r="DL139" s="169"/>
      <c r="DM139" s="169"/>
      <c r="DN139" s="169"/>
      <c r="DO139" s="169"/>
      <c r="DP139" s="169"/>
      <c r="DQ139" s="169"/>
      <c r="DR139" s="169"/>
      <c r="DS139" s="169"/>
      <c r="DT139" s="169"/>
      <c r="DU139" s="169"/>
      <c r="DV139" s="169"/>
      <c r="DW139" s="169"/>
      <c r="DX139" s="169"/>
      <c r="DY139" s="169"/>
      <c r="DZ139" s="169"/>
      <c r="EA139" s="169"/>
      <c r="EB139" s="169"/>
      <c r="EC139" s="169"/>
      <c r="ED139" s="169"/>
      <c r="EE139" s="169"/>
      <c r="EF139" s="169"/>
      <c r="EG139" s="169"/>
      <c r="EH139" s="169"/>
      <c r="EI139" s="169"/>
      <c r="EJ139" s="169"/>
      <c r="EK139" s="169"/>
      <c r="EL139" s="169"/>
      <c r="EM139" s="169"/>
      <c r="EN139" s="169"/>
      <c r="EO139" s="169"/>
      <c r="EP139" s="169"/>
      <c r="EQ139" s="169"/>
      <c r="ER139" s="169"/>
      <c r="ES139" s="169"/>
      <c r="ET139" s="169"/>
      <c r="EU139" s="169"/>
      <c r="EV139" s="169"/>
      <c r="EW139" s="169"/>
      <c r="EX139" s="169"/>
      <c r="EY139" s="169"/>
      <c r="EZ139" s="169"/>
      <c r="FA139" s="169"/>
      <c r="FB139" s="169"/>
      <c r="FC139" s="169"/>
      <c r="FD139" s="169"/>
      <c r="FE139" s="169"/>
      <c r="FF139" s="169"/>
      <c r="FG139" s="169"/>
      <c r="FH139" s="169"/>
      <c r="FI139" s="169"/>
      <c r="FJ139" s="169"/>
      <c r="FK139" s="169"/>
      <c r="FL139" s="169"/>
      <c r="FM139" s="169"/>
      <c r="FN139" s="169"/>
      <c r="FO139" s="169"/>
      <c r="FP139" s="169"/>
      <c r="FQ139" s="169"/>
      <c r="FR139" s="169"/>
      <c r="FS139" s="169"/>
      <c r="FT139" s="169"/>
      <c r="FU139" s="169"/>
      <c r="FV139" s="169"/>
      <c r="FW139" s="169"/>
      <c r="FX139" s="169"/>
      <c r="FY139" s="169"/>
      <c r="FZ139" s="169"/>
      <c r="GA139" s="169"/>
      <c r="GB139" s="169"/>
      <c r="GC139" s="169"/>
    </row>
    <row r="140" spans="1:185">
      <c r="A140" s="155" t="s">
        <v>127</v>
      </c>
      <c r="B140" s="156"/>
      <c r="D140" s="353"/>
      <c r="E140" s="353"/>
      <c r="F140" s="353"/>
      <c r="G140" s="353"/>
      <c r="H140" s="353"/>
      <c r="I140" s="353"/>
      <c r="J140" s="354"/>
      <c r="P140" s="354"/>
      <c r="Q140" s="354"/>
      <c r="R140" s="354"/>
      <c r="S140" s="354"/>
      <c r="T140" s="354"/>
      <c r="U140" s="354"/>
      <c r="V140" s="354"/>
      <c r="BF140" s="166">
        <v>0</v>
      </c>
      <c r="BG140" s="166">
        <v>0</v>
      </c>
      <c r="BH140" s="167">
        <f>BG140-BF140</f>
        <v>0</v>
      </c>
      <c r="BM140" s="168" t="e">
        <f ca="1">MAX(HLOOKUP(BM$3-DEC_FF,TAUX_FF_PF_TABLE,4)*((OFFSET(BM$142,0,-DEC_FF)+OFFSET(BM$142,0,-DEC_FF-1))/2),0)+BL140</f>
        <v>#VALUE!</v>
      </c>
      <c r="BN140" s="169" t="e">
        <f ca="1">MAX(HLOOKUP(BN$3-DEC_FF,TAUX_FF_PF_TABLE,4)*((OFFSET(BN$142,0,-DEC_FF)+OFFSET(BN$142,0,-DEC_FF-1))/2),0)+BM140</f>
        <v>#VALUE!</v>
      </c>
      <c r="BO140" s="169"/>
      <c r="BP140" s="169"/>
      <c r="BQ140" s="169"/>
      <c r="BR140" s="169"/>
      <c r="BS140" s="169"/>
      <c r="BT140" s="169"/>
      <c r="BU140" s="169"/>
      <c r="BV140" s="169"/>
      <c r="BW140" s="169"/>
      <c r="BX140" s="169"/>
      <c r="BY140" s="169"/>
      <c r="BZ140" s="169"/>
      <c r="CA140" s="169"/>
      <c r="CB140" s="169"/>
      <c r="CC140" s="169"/>
      <c r="CD140" s="169"/>
      <c r="CE140" s="169"/>
      <c r="CF140" s="169"/>
      <c r="CG140" s="169"/>
      <c r="CH140" s="169"/>
      <c r="CI140" s="169"/>
      <c r="CJ140" s="169"/>
      <c r="CK140" s="169"/>
      <c r="CL140" s="169"/>
      <c r="CM140" s="169"/>
      <c r="CN140" s="169"/>
      <c r="CO140" s="169"/>
      <c r="CP140" s="169"/>
      <c r="CQ140" s="169"/>
      <c r="CR140" s="169"/>
      <c r="CS140" s="169"/>
      <c r="CT140" s="169"/>
      <c r="CU140" s="169"/>
      <c r="CV140" s="169"/>
      <c r="CW140" s="169"/>
      <c r="CX140" s="169"/>
      <c r="CY140" s="169"/>
      <c r="CZ140" s="169"/>
      <c r="DA140" s="169"/>
      <c r="DB140" s="169"/>
      <c r="DC140" s="169"/>
      <c r="DD140" s="169"/>
      <c r="DE140" s="169"/>
      <c r="DF140" s="169"/>
      <c r="DG140" s="169"/>
      <c r="DH140" s="169"/>
      <c r="DI140" s="169"/>
      <c r="DJ140" s="169"/>
      <c r="DK140" s="169"/>
      <c r="DL140" s="169"/>
      <c r="DM140" s="169"/>
      <c r="DN140" s="169"/>
      <c r="DO140" s="169"/>
      <c r="DP140" s="169"/>
      <c r="DQ140" s="169"/>
      <c r="DR140" s="169"/>
      <c r="DS140" s="169"/>
      <c r="DT140" s="169"/>
      <c r="DU140" s="169"/>
      <c r="DV140" s="169"/>
      <c r="DW140" s="169"/>
      <c r="DX140" s="169"/>
      <c r="DY140" s="169"/>
      <c r="DZ140" s="169"/>
      <c r="EA140" s="169"/>
      <c r="EB140" s="169"/>
      <c r="EC140" s="169"/>
      <c r="ED140" s="169"/>
      <c r="EE140" s="169"/>
      <c r="EF140" s="169"/>
      <c r="EG140" s="169"/>
      <c r="EH140" s="169"/>
      <c r="EI140" s="169"/>
      <c r="EJ140" s="169"/>
      <c r="EK140" s="169"/>
      <c r="EL140" s="169"/>
      <c r="EM140" s="169"/>
      <c r="EN140" s="169"/>
      <c r="EO140" s="169"/>
      <c r="EP140" s="169"/>
      <c r="EQ140" s="169"/>
      <c r="ER140" s="169"/>
      <c r="ES140" s="169"/>
      <c r="ET140" s="169"/>
      <c r="EU140" s="169"/>
      <c r="EV140" s="169"/>
      <c r="EW140" s="169"/>
      <c r="EX140" s="169"/>
      <c r="EY140" s="169"/>
      <c r="EZ140" s="169"/>
      <c r="FA140" s="169"/>
      <c r="FB140" s="169"/>
      <c r="FC140" s="169"/>
      <c r="FD140" s="169"/>
      <c r="FE140" s="169"/>
      <c r="FF140" s="169"/>
      <c r="FG140" s="169"/>
      <c r="FH140" s="169"/>
      <c r="FI140" s="169"/>
      <c r="FJ140" s="169"/>
      <c r="FK140" s="169"/>
      <c r="FL140" s="169"/>
      <c r="FM140" s="169"/>
      <c r="FN140" s="169"/>
      <c r="FO140" s="169"/>
      <c r="FP140" s="169"/>
      <c r="FQ140" s="169"/>
      <c r="FR140" s="169"/>
      <c r="FS140" s="169"/>
      <c r="FT140" s="169"/>
      <c r="FU140" s="169"/>
      <c r="FV140" s="169"/>
      <c r="FW140" s="169"/>
      <c r="FX140" s="169"/>
      <c r="FY140" s="169"/>
      <c r="FZ140" s="169"/>
      <c r="GA140" s="169"/>
      <c r="GB140" s="169"/>
      <c r="GC140" s="169"/>
    </row>
    <row r="141" spans="1:185" ht="13.8" thickBot="1">
      <c r="A141" s="175"/>
      <c r="B141" s="176"/>
      <c r="D141" s="355">
        <v>3.8E-3</v>
      </c>
      <c r="E141" s="355">
        <v>3.8E-3</v>
      </c>
      <c r="F141" s="355">
        <v>3.8E-3</v>
      </c>
      <c r="G141" s="355">
        <v>5.5999999999999999E-3</v>
      </c>
      <c r="H141" s="355" t="s">
        <v>169</v>
      </c>
      <c r="I141" s="355"/>
      <c r="J141" s="356"/>
      <c r="P141" s="356">
        <f t="shared" ref="P141:V141" si="158">D141</f>
        <v>3.8E-3</v>
      </c>
      <c r="Q141" s="356">
        <f t="shared" si="158"/>
        <v>3.8E-3</v>
      </c>
      <c r="R141" s="356">
        <f t="shared" si="158"/>
        <v>3.8E-3</v>
      </c>
      <c r="S141" s="356">
        <f t="shared" si="158"/>
        <v>5.5999999999999999E-3</v>
      </c>
      <c r="T141" s="356" t="str">
        <f t="shared" si="158"/>
        <v xml:space="preserve"> </v>
      </c>
      <c r="U141" s="356">
        <f t="shared" si="158"/>
        <v>0</v>
      </c>
      <c r="V141" s="356">
        <f t="shared" si="158"/>
        <v>0</v>
      </c>
      <c r="BF141" s="254"/>
      <c r="BG141" s="254"/>
      <c r="BH141" s="254"/>
      <c r="BI141" s="138"/>
      <c r="BJ141" s="138"/>
      <c r="BK141" s="138"/>
      <c r="BL141" s="138"/>
      <c r="BM141" s="188"/>
      <c r="BN141" s="189"/>
      <c r="BO141" s="189"/>
      <c r="BP141" s="189"/>
      <c r="BQ141" s="189"/>
      <c r="BR141" s="189"/>
      <c r="BS141" s="189"/>
      <c r="BT141" s="189"/>
      <c r="BU141" s="189"/>
      <c r="BV141" s="189"/>
      <c r="BW141" s="189"/>
      <c r="BX141" s="189"/>
      <c r="BY141" s="189"/>
      <c r="BZ141" s="189"/>
      <c r="CA141" s="189"/>
      <c r="CB141" s="189"/>
      <c r="CC141" s="189"/>
      <c r="CD141" s="189"/>
      <c r="CE141" s="189"/>
      <c r="CF141" s="189"/>
      <c r="CG141" s="189"/>
      <c r="CH141" s="189"/>
      <c r="CI141" s="189"/>
      <c r="CJ141" s="189"/>
      <c r="CK141" s="189"/>
      <c r="CL141" s="189"/>
      <c r="CM141" s="189"/>
      <c r="CN141" s="189"/>
      <c r="CO141" s="189"/>
      <c r="CP141" s="189"/>
      <c r="CQ141" s="189"/>
      <c r="CR141" s="189"/>
      <c r="CS141" s="189"/>
      <c r="CT141" s="189"/>
      <c r="CU141" s="189"/>
      <c r="CV141" s="189"/>
      <c r="CW141" s="189"/>
      <c r="CX141" s="189"/>
      <c r="CY141" s="189"/>
      <c r="CZ141" s="189"/>
      <c r="DA141" s="189"/>
      <c r="DB141" s="189"/>
      <c r="DC141" s="189"/>
      <c r="DD141" s="189"/>
      <c r="DE141" s="189"/>
      <c r="DF141" s="189"/>
      <c r="DG141" s="189"/>
      <c r="DH141" s="189"/>
      <c r="DI141" s="189"/>
      <c r="DJ141" s="189"/>
      <c r="DK141" s="189"/>
      <c r="DL141" s="189"/>
      <c r="DM141" s="189"/>
      <c r="DN141" s="189"/>
      <c r="DO141" s="189"/>
      <c r="DP141" s="189"/>
      <c r="DQ141" s="189"/>
      <c r="DR141" s="189"/>
      <c r="DS141" s="189"/>
      <c r="DT141" s="189"/>
      <c r="DU141" s="189"/>
      <c r="DV141" s="189"/>
      <c r="DW141" s="189"/>
      <c r="DX141" s="189"/>
      <c r="DY141" s="189"/>
      <c r="DZ141" s="189"/>
      <c r="EA141" s="189"/>
      <c r="EB141" s="189"/>
      <c r="EC141" s="189"/>
      <c r="ED141" s="189"/>
      <c r="EE141" s="189"/>
      <c r="EF141" s="189"/>
      <c r="EG141" s="189"/>
      <c r="EH141" s="189"/>
      <c r="EI141" s="189"/>
      <c r="EJ141" s="189"/>
      <c r="EK141" s="189"/>
      <c r="EL141" s="189"/>
      <c r="EM141" s="189"/>
      <c r="EN141" s="189"/>
      <c r="EO141" s="189"/>
      <c r="EP141" s="189"/>
      <c r="EQ141" s="189"/>
      <c r="ER141" s="189"/>
      <c r="ES141" s="189"/>
      <c r="ET141" s="189"/>
      <c r="EU141" s="189"/>
      <c r="EV141" s="189"/>
      <c r="EW141" s="189"/>
      <c r="EX141" s="189"/>
      <c r="EY141" s="189"/>
      <c r="EZ141" s="189"/>
      <c r="FA141" s="189"/>
      <c r="FB141" s="189"/>
      <c r="FC141" s="189"/>
      <c r="FD141" s="189"/>
      <c r="FE141" s="189"/>
      <c r="FF141" s="189"/>
      <c r="FG141" s="189"/>
      <c r="FH141" s="189"/>
      <c r="FI141" s="189"/>
      <c r="FJ141" s="189"/>
      <c r="FK141" s="189"/>
      <c r="FL141" s="189"/>
      <c r="FM141" s="189"/>
      <c r="FN141" s="189"/>
      <c r="FO141" s="189"/>
      <c r="FP141" s="189"/>
      <c r="FQ141" s="189"/>
      <c r="FR141" s="189"/>
      <c r="FS141" s="189"/>
      <c r="FT141" s="189"/>
      <c r="FU141" s="189"/>
      <c r="FV141" s="189"/>
      <c r="FW141" s="189"/>
      <c r="FX141" s="189"/>
      <c r="FY141" s="189"/>
      <c r="FZ141" s="189"/>
      <c r="GA141" s="189"/>
      <c r="GB141" s="189"/>
      <c r="GC141" s="189"/>
    </row>
    <row r="142" spans="1:185" ht="14.4" thickTop="1" thickBot="1">
      <c r="A142" s="306" t="s">
        <v>128</v>
      </c>
      <c r="B142" s="137"/>
      <c r="BG142" s="138"/>
      <c r="BH142" s="138"/>
      <c r="BI142" s="138"/>
      <c r="BJ142" s="138"/>
      <c r="BK142" s="138"/>
      <c r="BL142" s="138"/>
      <c r="BM142" s="357" t="e">
        <f ca="1">SUM(BM131:BM141)</f>
        <v>#VALUE!</v>
      </c>
      <c r="BN142" s="308" t="e">
        <f ca="1">SUM(BN131:BN141)</f>
        <v>#VALUE!</v>
      </c>
      <c r="BO142" s="308"/>
      <c r="BP142" s="308"/>
      <c r="BQ142" s="308"/>
      <c r="BR142" s="308"/>
      <c r="BS142" s="308"/>
      <c r="BT142" s="308"/>
      <c r="BU142" s="308"/>
      <c r="BV142" s="308"/>
      <c r="BW142" s="308"/>
      <c r="BX142" s="308"/>
      <c r="BY142" s="308"/>
      <c r="BZ142" s="308"/>
      <c r="CA142" s="308"/>
      <c r="CB142" s="308"/>
      <c r="CC142" s="308"/>
      <c r="CD142" s="308"/>
      <c r="CE142" s="308"/>
      <c r="CF142" s="308"/>
      <c r="CG142" s="308"/>
      <c r="CH142" s="308"/>
      <c r="CI142" s="308"/>
      <c r="CJ142" s="308"/>
      <c r="CK142" s="308"/>
      <c r="CL142" s="308"/>
      <c r="CM142" s="308"/>
      <c r="CN142" s="308"/>
      <c r="CO142" s="308"/>
      <c r="CP142" s="308"/>
      <c r="CQ142" s="308"/>
      <c r="CR142" s="308"/>
      <c r="CS142" s="308"/>
      <c r="CT142" s="308"/>
      <c r="CU142" s="308"/>
      <c r="CV142" s="308"/>
      <c r="CW142" s="308"/>
      <c r="CX142" s="308"/>
      <c r="CY142" s="308"/>
      <c r="CZ142" s="308"/>
      <c r="DA142" s="308"/>
      <c r="DB142" s="308"/>
      <c r="DC142" s="308"/>
      <c r="DD142" s="308"/>
      <c r="DE142" s="308"/>
      <c r="DF142" s="308"/>
      <c r="DG142" s="308"/>
      <c r="DH142" s="308"/>
      <c r="DI142" s="308"/>
      <c r="DJ142" s="308"/>
      <c r="DK142" s="308"/>
      <c r="DL142" s="308"/>
      <c r="DM142" s="308"/>
      <c r="DN142" s="308"/>
      <c r="DO142" s="308"/>
      <c r="DP142" s="308"/>
      <c r="DQ142" s="308"/>
      <c r="DR142" s="308"/>
      <c r="DS142" s="308"/>
      <c r="DT142" s="308"/>
      <c r="DU142" s="308"/>
      <c r="DV142" s="308"/>
      <c r="DW142" s="308"/>
      <c r="DX142" s="308"/>
      <c r="DY142" s="308"/>
      <c r="DZ142" s="308"/>
      <c r="EA142" s="308"/>
      <c r="EB142" s="308"/>
      <c r="EC142" s="308"/>
      <c r="ED142" s="308"/>
      <c r="EE142" s="308"/>
      <c r="EF142" s="308"/>
      <c r="EG142" s="308"/>
      <c r="EH142" s="308"/>
      <c r="EI142" s="308"/>
      <c r="EJ142" s="308"/>
      <c r="EK142" s="308"/>
      <c r="EL142" s="308"/>
      <c r="EM142" s="308"/>
      <c r="EN142" s="308"/>
      <c r="EO142" s="308"/>
      <c r="EP142" s="308"/>
      <c r="EQ142" s="308"/>
      <c r="ER142" s="308"/>
      <c r="ES142" s="308"/>
      <c r="ET142" s="308"/>
      <c r="EU142" s="308"/>
      <c r="EV142" s="308"/>
      <c r="EW142" s="308"/>
      <c r="EX142" s="308"/>
      <c r="EY142" s="308"/>
      <c r="EZ142" s="308"/>
      <c r="FA142" s="308"/>
      <c r="FB142" s="308"/>
      <c r="FC142" s="308"/>
      <c r="FD142" s="308"/>
      <c r="FE142" s="308"/>
      <c r="FF142" s="308"/>
      <c r="FG142" s="308"/>
      <c r="FH142" s="308"/>
      <c r="FI142" s="308"/>
      <c r="FJ142" s="308"/>
      <c r="FK142" s="308"/>
      <c r="FL142" s="308"/>
      <c r="FM142" s="308"/>
      <c r="FN142" s="308"/>
      <c r="FO142" s="308"/>
      <c r="FP142" s="308"/>
      <c r="FQ142" s="308"/>
      <c r="FR142" s="308"/>
      <c r="FS142" s="308"/>
      <c r="FT142" s="308"/>
      <c r="FU142" s="308"/>
      <c r="FV142" s="308"/>
      <c r="FW142" s="308"/>
      <c r="FX142" s="308"/>
      <c r="FY142" s="308"/>
      <c r="FZ142" s="308"/>
      <c r="GA142" s="308"/>
      <c r="GB142" s="308"/>
      <c r="GC142" s="308"/>
    </row>
    <row r="143" spans="1:185">
      <c r="A143" s="281"/>
      <c r="B143" s="165"/>
      <c r="BG143" s="138"/>
      <c r="BH143" s="138"/>
      <c r="BI143" s="138"/>
      <c r="BJ143" s="138"/>
      <c r="BK143" s="138"/>
      <c r="BL143" s="138"/>
      <c r="BM143" s="153"/>
      <c r="BN143" s="154"/>
      <c r="BO143" s="154"/>
      <c r="BP143" s="154"/>
      <c r="BQ143" s="154"/>
      <c r="BR143" s="154"/>
      <c r="BS143" s="154"/>
      <c r="BT143" s="154"/>
      <c r="BU143" s="154"/>
      <c r="BV143" s="154"/>
      <c r="BW143" s="154"/>
      <c r="BX143" s="154"/>
      <c r="BY143" s="154"/>
      <c r="BZ143" s="154"/>
      <c r="CA143" s="154"/>
      <c r="CB143" s="154"/>
      <c r="CC143" s="154"/>
      <c r="CD143" s="154"/>
      <c r="CE143" s="154"/>
      <c r="CF143" s="154"/>
      <c r="CG143" s="154"/>
      <c r="CH143" s="154"/>
      <c r="CI143" s="154"/>
      <c r="CJ143" s="154"/>
      <c r="CK143" s="154"/>
      <c r="CL143" s="154"/>
      <c r="CM143" s="154"/>
      <c r="CN143" s="154"/>
      <c r="CO143" s="154"/>
      <c r="CP143" s="154"/>
      <c r="CQ143" s="154"/>
      <c r="CR143" s="154"/>
      <c r="CS143" s="154"/>
      <c r="CT143" s="154"/>
      <c r="CU143" s="154"/>
      <c r="CV143" s="154"/>
      <c r="CW143" s="154"/>
      <c r="CX143" s="154"/>
      <c r="CY143" s="154"/>
      <c r="CZ143" s="154"/>
      <c r="DA143" s="154"/>
      <c r="DB143" s="154"/>
      <c r="DC143" s="154"/>
      <c r="DD143" s="154"/>
      <c r="DE143" s="154"/>
      <c r="DF143" s="154"/>
      <c r="DG143" s="154"/>
      <c r="DH143" s="154"/>
      <c r="DI143" s="154"/>
      <c r="DJ143" s="154"/>
      <c r="DK143" s="154"/>
      <c r="DL143" s="154"/>
      <c r="DM143" s="154"/>
      <c r="DN143" s="154"/>
      <c r="DO143" s="154"/>
      <c r="DP143" s="154"/>
      <c r="DQ143" s="154"/>
      <c r="DR143" s="154"/>
      <c r="DS143" s="154"/>
      <c r="DT143" s="154"/>
      <c r="DU143" s="154"/>
      <c r="DV143" s="154"/>
      <c r="DW143" s="154"/>
      <c r="DX143" s="154"/>
      <c r="DY143" s="154"/>
      <c r="DZ143" s="154"/>
      <c r="EA143" s="154"/>
      <c r="EB143" s="154"/>
      <c r="EC143" s="154"/>
      <c r="ED143" s="154"/>
      <c r="EE143" s="154"/>
      <c r="EF143" s="154"/>
      <c r="EG143" s="154"/>
      <c r="EH143" s="154"/>
      <c r="EI143" s="154"/>
      <c r="EJ143" s="154"/>
      <c r="EK143" s="154"/>
      <c r="EL143" s="154"/>
      <c r="EM143" s="154"/>
      <c r="EN143" s="154"/>
      <c r="EO143" s="154"/>
      <c r="EP143" s="154"/>
      <c r="EQ143" s="154"/>
      <c r="ER143" s="154"/>
      <c r="ES143" s="154"/>
      <c r="ET143" s="154"/>
      <c r="EU143" s="154"/>
      <c r="EV143" s="154"/>
      <c r="EW143" s="154"/>
      <c r="EX143" s="154"/>
      <c r="EY143" s="154"/>
      <c r="EZ143" s="154"/>
      <c r="FA143" s="154"/>
      <c r="FB143" s="154"/>
      <c r="FC143" s="154"/>
      <c r="FD143" s="154"/>
      <c r="FE143" s="154"/>
      <c r="FF143" s="154"/>
      <c r="FG143" s="154"/>
      <c r="FH143" s="154"/>
      <c r="FI143" s="154"/>
      <c r="FJ143" s="154"/>
      <c r="FK143" s="154"/>
      <c r="FL143" s="154"/>
      <c r="FM143" s="154"/>
      <c r="FN143" s="154"/>
      <c r="FO143" s="154"/>
      <c r="FP143" s="154"/>
      <c r="FQ143" s="154"/>
      <c r="FR143" s="154"/>
      <c r="FS143" s="154"/>
      <c r="FT143" s="154"/>
      <c r="FU143" s="154"/>
      <c r="FV143" s="154"/>
      <c r="FW143" s="154"/>
      <c r="FX143" s="154"/>
      <c r="FY143" s="154"/>
      <c r="FZ143" s="154"/>
      <c r="GA143" s="154"/>
      <c r="GB143" s="154"/>
      <c r="GC143" s="154"/>
    </row>
    <row r="144" spans="1:185">
      <c r="A144" s="155" t="s">
        <v>129</v>
      </c>
      <c r="B144" s="156"/>
      <c r="BG144" s="138"/>
      <c r="BH144" s="138"/>
      <c r="BI144" s="138"/>
      <c r="BJ144" s="138"/>
      <c r="BK144" s="138"/>
      <c r="BL144" s="138"/>
      <c r="BM144" s="168" t="e">
        <f ca="1">IF(AND(BM$3&gt;=AP_1erVERS_CONV,TRESO_APRES-AP&gt;=0),BL144+1,0)</f>
        <v>#VALUE!</v>
      </c>
      <c r="BN144" s="169" t="e">
        <f ca="1">IF(AND(BN$3&gt;=AP_1erVERS_CONV,TRESO_APRES-AP&gt;=0),BM144+1,0)</f>
        <v>#VALUE!</v>
      </c>
      <c r="BO144" s="169"/>
      <c r="BP144" s="169"/>
      <c r="BQ144" s="169"/>
      <c r="BR144" s="169"/>
      <c r="BS144" s="169"/>
      <c r="BT144" s="169"/>
      <c r="BU144" s="169"/>
      <c r="BV144" s="169"/>
      <c r="BW144" s="169"/>
      <c r="BX144" s="169"/>
      <c r="BY144" s="169"/>
      <c r="BZ144" s="169"/>
      <c r="CA144" s="169"/>
      <c r="CB144" s="169"/>
      <c r="CC144" s="169"/>
      <c r="CD144" s="169"/>
      <c r="CE144" s="169"/>
      <c r="CF144" s="169"/>
      <c r="CG144" s="169"/>
      <c r="CH144" s="169"/>
      <c r="CI144" s="169"/>
      <c r="CJ144" s="169"/>
      <c r="CK144" s="169"/>
      <c r="CL144" s="169"/>
      <c r="CM144" s="169"/>
      <c r="CN144" s="169"/>
      <c r="CO144" s="169"/>
      <c r="CP144" s="169"/>
      <c r="CQ144" s="169"/>
      <c r="CR144" s="169"/>
      <c r="CS144" s="169"/>
      <c r="CT144" s="169"/>
      <c r="CU144" s="169"/>
      <c r="CV144" s="169"/>
      <c r="CW144" s="169"/>
      <c r="CX144" s="169"/>
      <c r="CY144" s="169"/>
      <c r="CZ144" s="169"/>
      <c r="DA144" s="169"/>
      <c r="DB144" s="169"/>
      <c r="DC144" s="169"/>
      <c r="DD144" s="169"/>
      <c r="DE144" s="169"/>
      <c r="DF144" s="169"/>
      <c r="DG144" s="169"/>
      <c r="DH144" s="169"/>
      <c r="DI144" s="169"/>
      <c r="DJ144" s="169"/>
      <c r="DK144" s="169"/>
      <c r="DL144" s="169"/>
      <c r="DM144" s="169"/>
      <c r="DN144" s="169"/>
      <c r="DO144" s="169"/>
      <c r="DP144" s="169"/>
      <c r="DQ144" s="169"/>
      <c r="DR144" s="169"/>
      <c r="DS144" s="169"/>
      <c r="DT144" s="169"/>
      <c r="DU144" s="169"/>
      <c r="DV144" s="169"/>
      <c r="DW144" s="169"/>
      <c r="DX144" s="169"/>
      <c r="DY144" s="169"/>
      <c r="DZ144" s="169"/>
      <c r="EA144" s="169"/>
      <c r="EB144" s="169"/>
      <c r="EC144" s="169"/>
      <c r="ED144" s="169"/>
      <c r="EE144" s="169"/>
      <c r="EF144" s="169"/>
      <c r="EG144" s="169"/>
      <c r="EH144" s="169"/>
      <c r="EI144" s="169"/>
      <c r="EJ144" s="169"/>
      <c r="EK144" s="169"/>
      <c r="EL144" s="169"/>
      <c r="EM144" s="169"/>
      <c r="EN144" s="169"/>
      <c r="EO144" s="169"/>
      <c r="EP144" s="169"/>
      <c r="EQ144" s="169"/>
      <c r="ER144" s="169"/>
      <c r="ES144" s="169"/>
      <c r="ET144" s="169"/>
      <c r="EU144" s="169"/>
      <c r="EV144" s="169"/>
      <c r="EW144" s="169"/>
      <c r="EX144" s="169"/>
      <c r="EY144" s="169"/>
      <c r="EZ144" s="169"/>
      <c r="FA144" s="169"/>
      <c r="FB144" s="169"/>
      <c r="FC144" s="169"/>
      <c r="FD144" s="169"/>
      <c r="FE144" s="169"/>
      <c r="FF144" s="169"/>
      <c r="FG144" s="169"/>
      <c r="FH144" s="169"/>
      <c r="FI144" s="169"/>
      <c r="FJ144" s="169"/>
      <c r="FK144" s="169"/>
      <c r="FL144" s="169"/>
      <c r="FM144" s="169"/>
      <c r="FN144" s="169"/>
      <c r="FO144" s="169"/>
      <c r="FP144" s="169"/>
      <c r="FQ144" s="169"/>
      <c r="FR144" s="169"/>
      <c r="FS144" s="169"/>
      <c r="FT144" s="169"/>
      <c r="FU144" s="169"/>
      <c r="FV144" s="169"/>
      <c r="FW144" s="169"/>
      <c r="FX144" s="169"/>
      <c r="FY144" s="169"/>
      <c r="FZ144" s="169"/>
      <c r="GA144" s="169"/>
      <c r="GB144" s="169"/>
      <c r="GC144" s="169"/>
    </row>
    <row r="145" spans="1:185">
      <c r="A145" s="155" t="s">
        <v>129</v>
      </c>
      <c r="B145" s="156"/>
      <c r="BG145" s="138"/>
      <c r="BH145" s="138"/>
      <c r="BI145" s="138"/>
      <c r="BJ145" s="138"/>
      <c r="BK145" s="138"/>
      <c r="BL145" s="138"/>
      <c r="BM145" s="358">
        <f ca="1">IF(OFFSET(BM144,0,11)=12,DATES,53326)</f>
        <v>53326</v>
      </c>
      <c r="BN145" s="251">
        <f ca="1">IF(OFFSET(BN144,0,11)=12,DATES,53326)</f>
        <v>53326</v>
      </c>
      <c r="BO145" s="251"/>
      <c r="BP145" s="251"/>
      <c r="BQ145" s="251"/>
      <c r="BR145" s="251"/>
      <c r="BS145" s="251"/>
      <c r="BT145" s="251"/>
      <c r="BU145" s="251"/>
      <c r="BV145" s="251"/>
      <c r="BW145" s="251"/>
      <c r="BX145" s="251"/>
      <c r="BY145" s="251"/>
      <c r="BZ145" s="251"/>
      <c r="CA145" s="251"/>
      <c r="CB145" s="251"/>
      <c r="CC145" s="251"/>
      <c r="CD145" s="251"/>
      <c r="CE145" s="251"/>
      <c r="CF145" s="251"/>
      <c r="CG145" s="251"/>
      <c r="CH145" s="251"/>
      <c r="CI145" s="251"/>
      <c r="CJ145" s="251"/>
      <c r="CK145" s="251"/>
      <c r="CL145" s="251"/>
      <c r="CM145" s="251"/>
      <c r="CN145" s="251"/>
      <c r="CO145" s="251"/>
      <c r="CP145" s="251"/>
      <c r="CQ145" s="251"/>
      <c r="CR145" s="251"/>
      <c r="CS145" s="251"/>
      <c r="CT145" s="251"/>
      <c r="CU145" s="251"/>
      <c r="CV145" s="251"/>
      <c r="CW145" s="251"/>
      <c r="CX145" s="251"/>
      <c r="CY145" s="251"/>
      <c r="CZ145" s="251"/>
      <c r="DA145" s="251"/>
      <c r="DB145" s="251"/>
      <c r="DC145" s="251"/>
      <c r="DD145" s="251"/>
      <c r="DE145" s="251"/>
      <c r="DF145" s="251"/>
      <c r="DG145" s="251"/>
      <c r="DH145" s="251"/>
      <c r="DI145" s="251"/>
      <c r="DJ145" s="251"/>
      <c r="DK145" s="251"/>
      <c r="DL145" s="251"/>
      <c r="DM145" s="251"/>
      <c r="DN145" s="251"/>
      <c r="DO145" s="251"/>
      <c r="DP145" s="251"/>
      <c r="DQ145" s="251"/>
      <c r="DR145" s="251"/>
      <c r="DS145" s="251"/>
      <c r="DT145" s="251"/>
      <c r="DU145" s="251"/>
      <c r="DV145" s="251"/>
      <c r="DW145" s="251"/>
      <c r="DX145" s="251"/>
      <c r="DY145" s="251"/>
      <c r="DZ145" s="251"/>
      <c r="EA145" s="251"/>
      <c r="EB145" s="251"/>
      <c r="EC145" s="251"/>
      <c r="ED145" s="251"/>
      <c r="EE145" s="251"/>
      <c r="EF145" s="251"/>
      <c r="EG145" s="251"/>
      <c r="EH145" s="251"/>
      <c r="EI145" s="251"/>
      <c r="EJ145" s="251"/>
      <c r="EK145" s="251"/>
      <c r="EL145" s="251"/>
      <c r="EM145" s="251"/>
      <c r="EN145" s="251"/>
      <c r="EO145" s="251"/>
      <c r="EP145" s="251"/>
      <c r="EQ145" s="251"/>
      <c r="ER145" s="251"/>
      <c r="ES145" s="251"/>
      <c r="ET145" s="251"/>
      <c r="EU145" s="251"/>
      <c r="EV145" s="251"/>
      <c r="EW145" s="251"/>
      <c r="EX145" s="251"/>
      <c r="EY145" s="251"/>
      <c r="EZ145" s="251"/>
      <c r="FA145" s="251"/>
      <c r="FB145" s="251"/>
      <c r="FC145" s="251"/>
      <c r="FD145" s="251"/>
      <c r="FE145" s="251"/>
      <c r="FF145" s="251"/>
      <c r="FG145" s="251"/>
      <c r="FH145" s="251"/>
      <c r="FI145" s="251"/>
      <c r="FJ145" s="251"/>
      <c r="FK145" s="251"/>
      <c r="FL145" s="251"/>
      <c r="FM145" s="251"/>
      <c r="FN145" s="251"/>
      <c r="FO145" s="251"/>
      <c r="FP145" s="251"/>
      <c r="FQ145" s="251"/>
      <c r="FR145" s="251"/>
      <c r="FS145" s="251"/>
      <c r="FT145" s="251"/>
      <c r="FU145" s="251"/>
      <c r="FV145" s="251"/>
      <c r="FW145" s="251"/>
      <c r="FX145" s="251"/>
      <c r="FY145" s="251"/>
      <c r="FZ145" s="251"/>
      <c r="GA145" s="251"/>
      <c r="GB145" s="251"/>
      <c r="GC145" s="251"/>
    </row>
    <row r="146" spans="1:185" ht="13.8" thickBot="1">
      <c r="A146" s="175"/>
      <c r="B146" s="176"/>
      <c r="BG146" s="138"/>
      <c r="BH146" s="138"/>
      <c r="BI146" s="138"/>
      <c r="BJ146" s="138"/>
      <c r="BK146" s="138"/>
      <c r="BL146" s="138"/>
      <c r="BM146" s="168"/>
      <c r="BN146" s="169"/>
      <c r="BO146" s="169"/>
      <c r="BP146" s="169"/>
      <c r="BQ146" s="169"/>
      <c r="BR146" s="169"/>
      <c r="BS146" s="169"/>
      <c r="BT146" s="169"/>
      <c r="BU146" s="169"/>
      <c r="BV146" s="169"/>
      <c r="BW146" s="169"/>
      <c r="BX146" s="169"/>
      <c r="BY146" s="169"/>
      <c r="BZ146" s="169"/>
      <c r="CA146" s="169"/>
      <c r="CB146" s="169"/>
      <c r="CC146" s="169"/>
      <c r="CD146" s="169"/>
      <c r="CE146" s="169"/>
      <c r="CF146" s="169"/>
      <c r="CG146" s="169"/>
      <c r="CH146" s="169"/>
      <c r="CI146" s="169"/>
      <c r="CJ146" s="169"/>
      <c r="CK146" s="169"/>
      <c r="CL146" s="169"/>
      <c r="CM146" s="169"/>
      <c r="CN146" s="169"/>
      <c r="CO146" s="169"/>
      <c r="CP146" s="169"/>
      <c r="CQ146" s="169"/>
      <c r="CR146" s="169"/>
      <c r="CS146" s="169"/>
      <c r="CT146" s="169"/>
      <c r="CU146" s="169"/>
      <c r="CV146" s="169"/>
      <c r="CW146" s="169"/>
      <c r="CX146" s="169"/>
      <c r="CY146" s="169"/>
      <c r="CZ146" s="169"/>
      <c r="DA146" s="169"/>
      <c r="DB146" s="169"/>
      <c r="DC146" s="169"/>
      <c r="DD146" s="169"/>
      <c r="DE146" s="169"/>
      <c r="DF146" s="169"/>
      <c r="DG146" s="169"/>
      <c r="DH146" s="169"/>
      <c r="DI146" s="169"/>
      <c r="DJ146" s="169"/>
      <c r="DK146" s="169"/>
      <c r="DL146" s="169"/>
      <c r="DM146" s="169"/>
      <c r="DN146" s="169"/>
      <c r="DO146" s="169"/>
      <c r="DP146" s="169"/>
      <c r="DQ146" s="169"/>
      <c r="DR146" s="169"/>
      <c r="DS146" s="169"/>
      <c r="DT146" s="169"/>
      <c r="DU146" s="169"/>
      <c r="DV146" s="169"/>
      <c r="DW146" s="169"/>
      <c r="DX146" s="169"/>
      <c r="DY146" s="169"/>
      <c r="DZ146" s="169"/>
      <c r="EA146" s="169"/>
      <c r="EB146" s="169"/>
      <c r="EC146" s="169"/>
      <c r="ED146" s="169"/>
      <c r="EE146" s="169"/>
      <c r="EF146" s="169"/>
      <c r="EG146" s="169"/>
      <c r="EH146" s="169"/>
      <c r="EI146" s="169"/>
      <c r="EJ146" s="169"/>
      <c r="EK146" s="169"/>
      <c r="EL146" s="169"/>
      <c r="EM146" s="169"/>
      <c r="EN146" s="169"/>
      <c r="EO146" s="169"/>
      <c r="EP146" s="169"/>
      <c r="EQ146" s="169"/>
      <c r="ER146" s="169"/>
      <c r="ES146" s="169"/>
      <c r="ET146" s="169"/>
      <c r="EU146" s="169"/>
      <c r="EV146" s="169"/>
      <c r="EW146" s="169"/>
      <c r="EX146" s="169"/>
      <c r="EY146" s="169"/>
      <c r="EZ146" s="169"/>
      <c r="FA146" s="169"/>
      <c r="FB146" s="169"/>
      <c r="FC146" s="169"/>
      <c r="FD146" s="169"/>
      <c r="FE146" s="169"/>
      <c r="FF146" s="169"/>
      <c r="FG146" s="169"/>
      <c r="FH146" s="169"/>
      <c r="FI146" s="169"/>
      <c r="FJ146" s="169"/>
      <c r="FK146" s="169"/>
      <c r="FL146" s="169"/>
      <c r="FM146" s="169"/>
      <c r="FN146" s="169"/>
      <c r="FO146" s="169"/>
      <c r="FP146" s="169"/>
      <c r="FQ146" s="169"/>
      <c r="FR146" s="169"/>
      <c r="FS146" s="169"/>
      <c r="FT146" s="169"/>
      <c r="FU146" s="169"/>
      <c r="FV146" s="169"/>
      <c r="FW146" s="169"/>
      <c r="FX146" s="169"/>
      <c r="FY146" s="169"/>
      <c r="FZ146" s="169"/>
      <c r="GA146" s="169"/>
      <c r="GB146" s="169"/>
      <c r="GC146" s="169"/>
    </row>
    <row r="147" spans="1:185" ht="13.8" thickBot="1">
      <c r="A147" s="306" t="s">
        <v>130</v>
      </c>
      <c r="B147" s="137"/>
      <c r="BG147" s="138"/>
      <c r="BH147" s="138"/>
      <c r="BI147" s="138"/>
      <c r="BJ147" s="138"/>
      <c r="BK147" s="138"/>
      <c r="BL147" s="359" t="e">
        <f ca="1">IRR(BM147:GC147,0.1/12)*12</f>
        <v>#VALUE!</v>
      </c>
      <c r="BM147" s="168" t="e">
        <f ca="1">(BM128-BL128)*-1+(BM108-BL108)+(BM111-BL111)</f>
        <v>#VALUE!</v>
      </c>
      <c r="BN147" s="169" t="e">
        <f ca="1">(BN128-BM128)*-1+(BN108-BM108)+(BN111-BM111)</f>
        <v>#VALUE!</v>
      </c>
      <c r="BO147" s="169"/>
      <c r="BP147" s="169"/>
      <c r="BQ147" s="169"/>
      <c r="BR147" s="169"/>
      <c r="BS147" s="169"/>
      <c r="BT147" s="169"/>
      <c r="BU147" s="169"/>
      <c r="BV147" s="169"/>
      <c r="BW147" s="169"/>
      <c r="BX147" s="169"/>
      <c r="BY147" s="169"/>
      <c r="BZ147" s="169"/>
      <c r="CA147" s="169"/>
      <c r="CB147" s="169"/>
      <c r="CC147" s="169"/>
      <c r="CD147" s="169"/>
      <c r="CE147" s="169"/>
      <c r="CF147" s="169"/>
      <c r="CG147" s="169"/>
      <c r="CH147" s="169"/>
      <c r="CI147" s="169"/>
      <c r="CJ147" s="169"/>
      <c r="CK147" s="169"/>
      <c r="CL147" s="169"/>
      <c r="CM147" s="169"/>
      <c r="CN147" s="169"/>
      <c r="CO147" s="169"/>
      <c r="CP147" s="169"/>
      <c r="CQ147" s="169"/>
      <c r="CR147" s="169"/>
      <c r="CS147" s="169"/>
      <c r="CT147" s="169"/>
      <c r="CU147" s="169"/>
      <c r="CV147" s="169"/>
      <c r="CW147" s="169"/>
      <c r="CX147" s="169"/>
      <c r="CY147" s="169"/>
      <c r="CZ147" s="169"/>
      <c r="DA147" s="169"/>
      <c r="DB147" s="169"/>
      <c r="DC147" s="169"/>
      <c r="DD147" s="169"/>
      <c r="DE147" s="169"/>
      <c r="DF147" s="169"/>
      <c r="DG147" s="169"/>
      <c r="DH147" s="169"/>
      <c r="DI147" s="169"/>
      <c r="DJ147" s="169"/>
      <c r="DK147" s="169"/>
      <c r="DL147" s="169"/>
      <c r="DM147" s="169"/>
      <c r="DN147" s="169"/>
      <c r="DO147" s="169"/>
      <c r="DP147" s="169"/>
      <c r="DQ147" s="169"/>
      <c r="DR147" s="169"/>
      <c r="DS147" s="169"/>
      <c r="DT147" s="169"/>
      <c r="DU147" s="169"/>
      <c r="DV147" s="169"/>
      <c r="DW147" s="169"/>
      <c r="DX147" s="169"/>
      <c r="DY147" s="169"/>
      <c r="DZ147" s="169"/>
      <c r="EA147" s="169"/>
      <c r="EB147" s="169"/>
      <c r="EC147" s="169"/>
      <c r="ED147" s="169"/>
      <c r="EE147" s="169"/>
      <c r="EF147" s="169"/>
      <c r="EG147" s="169"/>
      <c r="EH147" s="169"/>
      <c r="EI147" s="169"/>
      <c r="EJ147" s="169"/>
      <c r="EK147" s="169"/>
      <c r="EL147" s="169"/>
      <c r="EM147" s="169"/>
      <c r="EN147" s="169"/>
      <c r="EO147" s="169"/>
      <c r="EP147" s="169"/>
      <c r="EQ147" s="169"/>
      <c r="ER147" s="169"/>
      <c r="ES147" s="169"/>
      <c r="ET147" s="169"/>
      <c r="EU147" s="169"/>
      <c r="EV147" s="169"/>
      <c r="EW147" s="169"/>
      <c r="EX147" s="169"/>
      <c r="EY147" s="169"/>
      <c r="EZ147" s="169"/>
      <c r="FA147" s="169"/>
      <c r="FB147" s="169"/>
      <c r="FC147" s="169"/>
      <c r="FD147" s="169"/>
      <c r="FE147" s="169"/>
      <c r="FF147" s="169"/>
      <c r="FG147" s="169"/>
      <c r="FH147" s="169"/>
      <c r="FI147" s="169"/>
      <c r="FJ147" s="169"/>
      <c r="FK147" s="169"/>
      <c r="FL147" s="169"/>
      <c r="FM147" s="169"/>
      <c r="FN147" s="169"/>
      <c r="FO147" s="169"/>
      <c r="FP147" s="169"/>
      <c r="FQ147" s="169"/>
      <c r="FR147" s="169"/>
      <c r="FS147" s="169"/>
      <c r="FT147" s="169"/>
      <c r="FU147" s="169"/>
      <c r="FV147" s="169"/>
      <c r="FW147" s="169"/>
      <c r="FX147" s="169"/>
      <c r="FY147" s="169"/>
      <c r="FZ147" s="169"/>
      <c r="GA147" s="169"/>
      <c r="GB147" s="169"/>
      <c r="GC147" s="169"/>
    </row>
    <row r="148" spans="1:185" ht="13.8" thickBot="1">
      <c r="A148" s="306" t="s">
        <v>131</v>
      </c>
      <c r="B148" s="165"/>
      <c r="BG148" s="138"/>
      <c r="BH148" s="138"/>
      <c r="BI148" s="138"/>
      <c r="BJ148" s="138"/>
      <c r="BK148" s="138"/>
      <c r="BL148" s="359" t="e">
        <f ca="1">IRR(BM148:GC148,-0.5)*12</f>
        <v>#VALUE!</v>
      </c>
      <c r="BM148" s="168" t="e">
        <f ca="1">(BM128-BL128)*-1+(BM108-BL108)+(BM111-BL111)+(BM142-BL142)+(BM138-BL138)*-1+(BM140-BL140)*-1+(BM134-BL134)*-1</f>
        <v>#VALUE!</v>
      </c>
      <c r="BN148" s="168" t="e">
        <f ca="1">(BN128-BM128)*-1+(BN108-BM108)+(BN111-BM111)+(BN142-BM142)+(BN138-BM138)*-1+(BN140-BM140)*-1+(BN134-BM134)*-1</f>
        <v>#VALUE!</v>
      </c>
      <c r="BO148" s="168"/>
      <c r="BP148" s="168"/>
      <c r="BQ148" s="168"/>
      <c r="BR148" s="168"/>
      <c r="BS148" s="168"/>
      <c r="BT148" s="168"/>
      <c r="BU148" s="168"/>
      <c r="BV148" s="168"/>
      <c r="BW148" s="168"/>
      <c r="BX148" s="168"/>
      <c r="BY148" s="168"/>
      <c r="BZ148" s="168"/>
      <c r="CA148" s="168"/>
      <c r="CB148" s="168"/>
      <c r="CC148" s="168"/>
      <c r="CD148" s="168"/>
      <c r="CE148" s="168"/>
      <c r="CF148" s="168"/>
      <c r="CG148" s="168"/>
      <c r="CH148" s="168"/>
      <c r="CI148" s="168"/>
      <c r="CJ148" s="168"/>
      <c r="CK148" s="168"/>
      <c r="CL148" s="168"/>
      <c r="CM148" s="168"/>
      <c r="CN148" s="168"/>
      <c r="CO148" s="168"/>
      <c r="CP148" s="168"/>
      <c r="CQ148" s="168"/>
      <c r="CR148" s="168"/>
      <c r="CS148" s="168"/>
      <c r="CT148" s="168"/>
      <c r="CU148" s="168"/>
      <c r="CV148" s="168"/>
      <c r="CW148" s="168"/>
      <c r="CX148" s="168"/>
      <c r="CY148" s="168"/>
      <c r="CZ148" s="168"/>
      <c r="DA148" s="168"/>
      <c r="DB148" s="168"/>
      <c r="DC148" s="168"/>
      <c r="DD148" s="168"/>
      <c r="DE148" s="168"/>
      <c r="DF148" s="168"/>
      <c r="DG148" s="168"/>
      <c r="DH148" s="168"/>
      <c r="DI148" s="168"/>
      <c r="DJ148" s="168"/>
      <c r="DK148" s="168"/>
      <c r="DL148" s="168"/>
      <c r="DM148" s="168"/>
      <c r="DN148" s="168"/>
      <c r="DO148" s="168"/>
      <c r="DP148" s="168"/>
      <c r="DQ148" s="168"/>
      <c r="DR148" s="168"/>
      <c r="DS148" s="168"/>
      <c r="DT148" s="168"/>
      <c r="DU148" s="168"/>
      <c r="DV148" s="168"/>
      <c r="DW148" s="168"/>
      <c r="DX148" s="168"/>
      <c r="DY148" s="168"/>
      <c r="DZ148" s="168"/>
      <c r="EA148" s="168"/>
      <c r="EB148" s="168"/>
      <c r="EC148" s="168"/>
      <c r="ED148" s="168"/>
      <c r="EE148" s="168"/>
      <c r="EF148" s="168"/>
      <c r="EG148" s="168"/>
      <c r="EH148" s="168"/>
      <c r="EI148" s="168"/>
      <c r="EJ148" s="168"/>
      <c r="EK148" s="168"/>
      <c r="EL148" s="168"/>
      <c r="EM148" s="168"/>
      <c r="EN148" s="168"/>
      <c r="EO148" s="168"/>
      <c r="EP148" s="168"/>
      <c r="EQ148" s="168"/>
      <c r="ER148" s="168"/>
      <c r="ES148" s="168"/>
      <c r="ET148" s="168"/>
      <c r="EU148" s="168"/>
      <c r="EV148" s="168"/>
      <c r="EW148" s="168"/>
      <c r="EX148" s="168"/>
      <c r="EY148" s="168"/>
      <c r="EZ148" s="168"/>
      <c r="FA148" s="168"/>
      <c r="FB148" s="168"/>
      <c r="FC148" s="168"/>
      <c r="FD148" s="168"/>
      <c r="FE148" s="168"/>
      <c r="FF148" s="168"/>
      <c r="FG148" s="168"/>
      <c r="FH148" s="168"/>
      <c r="FI148" s="168"/>
      <c r="FJ148" s="168"/>
      <c r="FK148" s="168"/>
      <c r="FL148" s="168"/>
      <c r="FM148" s="168"/>
      <c r="FN148" s="168"/>
      <c r="FO148" s="168"/>
      <c r="FP148" s="168"/>
      <c r="FQ148" s="168"/>
      <c r="FR148" s="168"/>
      <c r="FS148" s="168"/>
      <c r="FT148" s="168"/>
      <c r="FU148" s="168"/>
      <c r="FV148" s="168"/>
      <c r="FW148" s="168"/>
      <c r="FX148" s="168"/>
      <c r="FY148" s="168"/>
      <c r="FZ148" s="168"/>
      <c r="GA148" s="168"/>
      <c r="GB148" s="168"/>
      <c r="GC148" s="168"/>
    </row>
    <row r="149" spans="1:185">
      <c r="A149" s="281"/>
      <c r="B149" s="165"/>
      <c r="BG149" s="138"/>
      <c r="BH149" s="138"/>
      <c r="BI149" s="138"/>
      <c r="BJ149" s="138"/>
      <c r="BK149" s="138"/>
      <c r="BL149" s="138"/>
      <c r="BM149" s="168"/>
      <c r="BN149" s="169"/>
      <c r="BO149" s="169"/>
      <c r="BP149" s="169"/>
      <c r="BQ149" s="169"/>
      <c r="BR149" s="169"/>
      <c r="BS149" s="169"/>
      <c r="BT149" s="169"/>
      <c r="BU149" s="169"/>
      <c r="BV149" s="169"/>
      <c r="BW149" s="169"/>
      <c r="BX149" s="169"/>
      <c r="BY149" s="169"/>
      <c r="BZ149" s="169"/>
      <c r="CA149" s="169"/>
      <c r="CB149" s="169"/>
      <c r="CC149" s="169"/>
      <c r="CD149" s="169"/>
      <c r="CE149" s="169"/>
      <c r="CF149" s="169"/>
      <c r="CG149" s="169"/>
      <c r="CH149" s="169"/>
      <c r="CI149" s="169"/>
      <c r="CJ149" s="169"/>
      <c r="CK149" s="169"/>
      <c r="CL149" s="169"/>
      <c r="CM149" s="169"/>
      <c r="CN149" s="169"/>
      <c r="CO149" s="169"/>
      <c r="CP149" s="169"/>
      <c r="CQ149" s="169"/>
      <c r="CR149" s="169"/>
      <c r="CS149" s="169"/>
      <c r="CT149" s="169"/>
      <c r="CU149" s="169"/>
      <c r="CV149" s="169"/>
      <c r="CW149" s="169"/>
      <c r="CX149" s="169"/>
      <c r="CY149" s="169"/>
      <c r="CZ149" s="169"/>
      <c r="DA149" s="169"/>
      <c r="DB149" s="169"/>
      <c r="DC149" s="169"/>
      <c r="DD149" s="169"/>
      <c r="DE149" s="169"/>
      <c r="DF149" s="169"/>
      <c r="DG149" s="169"/>
      <c r="DH149" s="169"/>
      <c r="DI149" s="169"/>
      <c r="DJ149" s="169"/>
      <c r="DK149" s="169"/>
      <c r="DL149" s="169"/>
      <c r="DM149" s="169"/>
      <c r="DN149" s="169"/>
      <c r="DO149" s="169"/>
      <c r="DP149" s="169"/>
      <c r="DQ149" s="169"/>
      <c r="DR149" s="169"/>
      <c r="DS149" s="169"/>
      <c r="DT149" s="169"/>
      <c r="DU149" s="169"/>
      <c r="DV149" s="169"/>
      <c r="DW149" s="169"/>
      <c r="DX149" s="169"/>
      <c r="DY149" s="169"/>
      <c r="DZ149" s="169"/>
      <c r="EA149" s="169"/>
      <c r="EB149" s="169"/>
      <c r="EC149" s="169"/>
      <c r="ED149" s="169"/>
      <c r="EE149" s="169"/>
      <c r="EF149" s="169"/>
      <c r="EG149" s="169"/>
      <c r="EH149" s="169"/>
      <c r="EI149" s="169"/>
      <c r="EJ149" s="169"/>
      <c r="EK149" s="169"/>
      <c r="EL149" s="169"/>
      <c r="EM149" s="169"/>
      <c r="EN149" s="169"/>
      <c r="EO149" s="169"/>
      <c r="EP149" s="169"/>
      <c r="EQ149" s="169"/>
      <c r="ER149" s="169"/>
      <c r="ES149" s="169"/>
      <c r="ET149" s="169"/>
      <c r="EU149" s="169"/>
      <c r="EV149" s="169"/>
      <c r="EW149" s="169"/>
      <c r="EX149" s="169"/>
      <c r="EY149" s="169"/>
      <c r="EZ149" s="169"/>
      <c r="FA149" s="169"/>
      <c r="FB149" s="169"/>
      <c r="FC149" s="169"/>
      <c r="FD149" s="169"/>
      <c r="FE149" s="169"/>
      <c r="FF149" s="169"/>
      <c r="FG149" s="169"/>
      <c r="FH149" s="169"/>
      <c r="FI149" s="169"/>
      <c r="FJ149" s="169"/>
      <c r="FK149" s="169"/>
      <c r="FL149" s="169"/>
      <c r="FM149" s="169"/>
      <c r="FN149" s="169"/>
      <c r="FO149" s="169"/>
      <c r="FP149" s="169"/>
      <c r="FQ149" s="169"/>
      <c r="FR149" s="169"/>
      <c r="FS149" s="169"/>
      <c r="FT149" s="169"/>
      <c r="FU149" s="169"/>
      <c r="FV149" s="169"/>
      <c r="FW149" s="169"/>
      <c r="FX149" s="169"/>
      <c r="FY149" s="169"/>
      <c r="FZ149" s="169"/>
      <c r="GA149" s="169"/>
      <c r="GB149" s="169"/>
      <c r="GC149" s="169"/>
    </row>
    <row r="150" spans="1:185">
      <c r="A150" s="155" t="s">
        <v>132</v>
      </c>
      <c r="B150" s="156"/>
      <c r="BG150" s="138"/>
      <c r="BH150" s="138"/>
      <c r="BI150" s="138"/>
      <c r="BJ150" s="138"/>
      <c r="BK150" s="138"/>
      <c r="BL150" s="138"/>
      <c r="BM150" s="168"/>
      <c r="BN150" s="169"/>
      <c r="BO150" s="169"/>
      <c r="BP150" s="169"/>
      <c r="BQ150" s="169"/>
      <c r="BR150" s="169"/>
      <c r="BS150" s="169"/>
      <c r="BT150" s="169"/>
      <c r="BU150" s="169"/>
      <c r="BV150" s="169"/>
      <c r="BW150" s="169"/>
      <c r="BX150" s="169"/>
      <c r="BY150" s="169"/>
      <c r="BZ150" s="169"/>
      <c r="CA150" s="169"/>
      <c r="CB150" s="169"/>
      <c r="CC150" s="169"/>
      <c r="CD150" s="169"/>
      <c r="CE150" s="169"/>
      <c r="CF150" s="169"/>
      <c r="CG150" s="169"/>
      <c r="CH150" s="169"/>
      <c r="CI150" s="169"/>
      <c r="CJ150" s="169"/>
      <c r="CK150" s="169"/>
      <c r="CL150" s="169"/>
      <c r="CM150" s="169"/>
      <c r="CN150" s="169"/>
      <c r="CO150" s="169"/>
      <c r="CP150" s="169"/>
      <c r="CQ150" s="169"/>
      <c r="CR150" s="169"/>
      <c r="CS150" s="169"/>
      <c r="CT150" s="169"/>
      <c r="CU150" s="169"/>
      <c r="CV150" s="169"/>
      <c r="CW150" s="169"/>
      <c r="CX150" s="169"/>
      <c r="CY150" s="169"/>
      <c r="CZ150" s="169"/>
      <c r="DA150" s="169"/>
      <c r="DB150" s="169"/>
      <c r="DC150" s="169"/>
      <c r="DD150" s="169"/>
      <c r="DE150" s="169"/>
      <c r="DF150" s="169"/>
      <c r="DG150" s="169"/>
      <c r="DH150" s="169"/>
      <c r="DI150" s="169"/>
      <c r="DJ150" s="169"/>
      <c r="DK150" s="169"/>
      <c r="DL150" s="169"/>
      <c r="DM150" s="169"/>
      <c r="DN150" s="169"/>
      <c r="DO150" s="169"/>
      <c r="DP150" s="169"/>
      <c r="DQ150" s="169"/>
      <c r="DR150" s="169"/>
      <c r="DS150" s="169"/>
      <c r="DT150" s="169"/>
      <c r="DU150" s="169"/>
      <c r="DV150" s="169"/>
      <c r="DW150" s="169"/>
      <c r="DX150" s="169"/>
      <c r="DY150" s="169"/>
      <c r="DZ150" s="169"/>
      <c r="EA150" s="169"/>
      <c r="EB150" s="169"/>
      <c r="EC150" s="169"/>
      <c r="ED150" s="169"/>
      <c r="EE150" s="169"/>
      <c r="EF150" s="169"/>
      <c r="EG150" s="169"/>
      <c r="EH150" s="169"/>
      <c r="EI150" s="169"/>
      <c r="EJ150" s="169"/>
      <c r="EK150" s="169"/>
      <c r="EL150" s="169"/>
      <c r="EM150" s="169"/>
      <c r="EN150" s="169"/>
      <c r="EO150" s="169"/>
      <c r="EP150" s="169"/>
      <c r="EQ150" s="169"/>
      <c r="ER150" s="169"/>
      <c r="ES150" s="169"/>
      <c r="ET150" s="169"/>
      <c r="EU150" s="169"/>
      <c r="EV150" s="169"/>
      <c r="EW150" s="169"/>
      <c r="EX150" s="169"/>
      <c r="EY150" s="169"/>
      <c r="EZ150" s="169"/>
      <c r="FA150" s="169"/>
      <c r="FB150" s="169"/>
      <c r="FC150" s="169"/>
      <c r="FD150" s="169"/>
      <c r="FE150" s="169"/>
      <c r="FF150" s="169"/>
      <c r="FG150" s="169"/>
      <c r="FH150" s="169"/>
      <c r="FI150" s="169"/>
      <c r="FJ150" s="169"/>
      <c r="FK150" s="169"/>
      <c r="FL150" s="169"/>
      <c r="FM150" s="169"/>
      <c r="FN150" s="169"/>
      <c r="FO150" s="169"/>
      <c r="FP150" s="169"/>
      <c r="FQ150" s="169"/>
      <c r="FR150" s="169"/>
      <c r="FS150" s="169"/>
      <c r="FT150" s="169"/>
      <c r="FU150" s="169"/>
      <c r="FV150" s="169"/>
      <c r="FW150" s="169"/>
      <c r="FX150" s="169"/>
      <c r="FY150" s="169"/>
      <c r="FZ150" s="169"/>
      <c r="GA150" s="169"/>
      <c r="GB150" s="169"/>
      <c r="GC150" s="169"/>
    </row>
    <row r="151" spans="1:185">
      <c r="A151" s="155" t="s">
        <v>133</v>
      </c>
      <c r="B151" s="156"/>
      <c r="BG151" s="138"/>
      <c r="BH151" s="138"/>
      <c r="BI151" s="138"/>
      <c r="BJ151" s="138"/>
      <c r="BK151" s="138"/>
      <c r="BL151" s="138"/>
      <c r="BM151" s="168">
        <f>BM150+BL151</f>
        <v>0</v>
      </c>
      <c r="BN151" s="169">
        <f>BN150+BM151</f>
        <v>0</v>
      </c>
      <c r="BO151" s="169"/>
      <c r="BP151" s="169"/>
      <c r="BQ151" s="169"/>
      <c r="BR151" s="169"/>
      <c r="BS151" s="169"/>
      <c r="BT151" s="169"/>
      <c r="BU151" s="169"/>
      <c r="BV151" s="169"/>
      <c r="BW151" s="169"/>
      <c r="BX151" s="169"/>
      <c r="BY151" s="169"/>
      <c r="BZ151" s="169"/>
      <c r="CA151" s="169"/>
      <c r="CB151" s="169"/>
      <c r="CC151" s="169"/>
      <c r="CD151" s="169"/>
      <c r="CE151" s="169"/>
      <c r="CF151" s="169"/>
      <c r="CG151" s="169"/>
      <c r="CH151" s="169"/>
      <c r="CI151" s="169"/>
      <c r="CJ151" s="169"/>
      <c r="CK151" s="169"/>
      <c r="CL151" s="169"/>
      <c r="CM151" s="169"/>
      <c r="CN151" s="169"/>
      <c r="CO151" s="169"/>
      <c r="CP151" s="169"/>
      <c r="CQ151" s="169"/>
      <c r="CR151" s="169"/>
      <c r="CS151" s="169"/>
      <c r="CT151" s="169"/>
      <c r="CU151" s="169"/>
      <c r="CV151" s="169"/>
      <c r="CW151" s="169"/>
      <c r="CX151" s="169"/>
      <c r="CY151" s="169"/>
      <c r="CZ151" s="169"/>
      <c r="DA151" s="169"/>
      <c r="DB151" s="169"/>
      <c r="DC151" s="169"/>
      <c r="DD151" s="169"/>
      <c r="DE151" s="169"/>
      <c r="DF151" s="169"/>
      <c r="DG151" s="169"/>
      <c r="DH151" s="169"/>
      <c r="DI151" s="169"/>
      <c r="DJ151" s="169"/>
      <c r="DK151" s="169"/>
      <c r="DL151" s="169"/>
      <c r="DM151" s="169"/>
      <c r="DN151" s="169"/>
      <c r="DO151" s="169"/>
      <c r="DP151" s="169"/>
      <c r="DQ151" s="169"/>
      <c r="DR151" s="169"/>
      <c r="DS151" s="169"/>
      <c r="DT151" s="169"/>
      <c r="DU151" s="169"/>
      <c r="DV151" s="169"/>
      <c r="DW151" s="169"/>
      <c r="DX151" s="169"/>
      <c r="DY151" s="169"/>
      <c r="DZ151" s="169"/>
      <c r="EA151" s="169"/>
      <c r="EB151" s="169"/>
      <c r="EC151" s="169"/>
      <c r="ED151" s="169"/>
      <c r="EE151" s="169"/>
      <c r="EF151" s="169"/>
      <c r="EG151" s="169"/>
      <c r="EH151" s="169"/>
      <c r="EI151" s="169"/>
      <c r="EJ151" s="169"/>
      <c r="EK151" s="169"/>
      <c r="EL151" s="169"/>
      <c r="EM151" s="169"/>
      <c r="EN151" s="169"/>
      <c r="EO151" s="169"/>
      <c r="EP151" s="169"/>
      <c r="EQ151" s="169"/>
      <c r="ER151" s="169"/>
      <c r="ES151" s="169"/>
      <c r="ET151" s="169"/>
      <c r="EU151" s="169"/>
      <c r="EV151" s="169"/>
      <c r="EW151" s="169"/>
      <c r="EX151" s="169"/>
      <c r="EY151" s="169"/>
      <c r="EZ151" s="169"/>
      <c r="FA151" s="169"/>
      <c r="FB151" s="169"/>
      <c r="FC151" s="169"/>
      <c r="FD151" s="169"/>
      <c r="FE151" s="169"/>
      <c r="FF151" s="169"/>
      <c r="FG151" s="169"/>
      <c r="FH151" s="169"/>
      <c r="FI151" s="169"/>
      <c r="FJ151" s="169"/>
      <c r="FK151" s="169"/>
      <c r="FL151" s="169"/>
      <c r="FM151" s="169"/>
      <c r="FN151" s="169"/>
      <c r="FO151" s="169"/>
      <c r="FP151" s="169"/>
      <c r="FQ151" s="169"/>
      <c r="FR151" s="169"/>
      <c r="FS151" s="169"/>
      <c r="FT151" s="169"/>
      <c r="FU151" s="169"/>
      <c r="FV151" s="169"/>
      <c r="FW151" s="169"/>
      <c r="FX151" s="169"/>
      <c r="FY151" s="169"/>
      <c r="FZ151" s="169"/>
      <c r="GA151" s="169"/>
      <c r="GB151" s="169"/>
      <c r="GC151" s="169"/>
    </row>
    <row r="152" spans="1:185">
      <c r="A152" s="155" t="s">
        <v>134</v>
      </c>
      <c r="B152" s="156"/>
      <c r="BG152" s="138"/>
      <c r="BH152" s="138"/>
      <c r="BI152" s="138"/>
      <c r="BJ152" s="138"/>
      <c r="BK152" s="138"/>
      <c r="BL152" s="138"/>
      <c r="BM152" s="168" t="e">
        <f ca="1">IF(BM$3&gt;=T1_1erSIGN,OFFSET(BM151,0,-DEC_SIG),0)</f>
        <v>#VALUE!</v>
      </c>
      <c r="BN152" s="169" t="e">
        <f ca="1">IF(BN$3&gt;=T1_1erSIGN,OFFSET(BN151,0,-DEC_SIG),0)</f>
        <v>#VALUE!</v>
      </c>
      <c r="BO152" s="169"/>
      <c r="BP152" s="169"/>
      <c r="BQ152" s="169"/>
      <c r="BR152" s="169"/>
      <c r="BS152" s="169"/>
      <c r="BT152" s="169"/>
      <c r="BU152" s="169"/>
      <c r="BV152" s="169"/>
      <c r="BW152" s="169"/>
      <c r="BX152" s="169"/>
      <c r="BY152" s="169"/>
      <c r="BZ152" s="169"/>
      <c r="CA152" s="169"/>
      <c r="CB152" s="169"/>
      <c r="CC152" s="169"/>
      <c r="CD152" s="169"/>
      <c r="CE152" s="169"/>
      <c r="CF152" s="169"/>
      <c r="CG152" s="169"/>
      <c r="CH152" s="169"/>
      <c r="CI152" s="169"/>
      <c r="CJ152" s="169"/>
      <c r="CK152" s="169"/>
      <c r="CL152" s="169"/>
      <c r="CM152" s="169"/>
      <c r="CN152" s="169"/>
      <c r="CO152" s="169"/>
      <c r="CP152" s="169"/>
      <c r="CQ152" s="169"/>
      <c r="CR152" s="169"/>
      <c r="CS152" s="169"/>
      <c r="CT152" s="169"/>
      <c r="CU152" s="169"/>
      <c r="CV152" s="169"/>
      <c r="CW152" s="169"/>
      <c r="CX152" s="169"/>
      <c r="CY152" s="169"/>
      <c r="CZ152" s="169"/>
      <c r="DA152" s="169"/>
      <c r="DB152" s="169"/>
      <c r="DC152" s="169"/>
      <c r="DD152" s="169"/>
      <c r="DE152" s="169"/>
      <c r="DF152" s="169"/>
      <c r="DG152" s="169"/>
      <c r="DH152" s="169"/>
      <c r="DI152" s="169"/>
      <c r="DJ152" s="169"/>
      <c r="DK152" s="169"/>
      <c r="DL152" s="169"/>
      <c r="DM152" s="169"/>
      <c r="DN152" s="169"/>
      <c r="DO152" s="169"/>
      <c r="DP152" s="169"/>
      <c r="DQ152" s="169"/>
      <c r="DR152" s="169"/>
      <c r="DS152" s="169"/>
      <c r="DT152" s="169"/>
      <c r="DU152" s="169"/>
      <c r="DV152" s="169"/>
      <c r="DW152" s="169"/>
      <c r="DX152" s="169"/>
      <c r="DY152" s="169"/>
      <c r="DZ152" s="169"/>
      <c r="EA152" s="169"/>
      <c r="EB152" s="169"/>
      <c r="EC152" s="169"/>
      <c r="ED152" s="169"/>
      <c r="EE152" s="169"/>
      <c r="EF152" s="169"/>
      <c r="EG152" s="169"/>
      <c r="EH152" s="169"/>
      <c r="EI152" s="169"/>
      <c r="EJ152" s="169"/>
      <c r="EK152" s="169"/>
      <c r="EL152" s="169"/>
      <c r="EM152" s="169"/>
      <c r="EN152" s="169"/>
      <c r="EO152" s="169"/>
      <c r="EP152" s="169"/>
      <c r="EQ152" s="169"/>
      <c r="ER152" s="169"/>
      <c r="ES152" s="169"/>
      <c r="ET152" s="169"/>
      <c r="EU152" s="169"/>
      <c r="EV152" s="169"/>
      <c r="EW152" s="169"/>
      <c r="EX152" s="169"/>
      <c r="EY152" s="169"/>
      <c r="EZ152" s="169"/>
      <c r="FA152" s="169"/>
      <c r="FB152" s="169"/>
      <c r="FC152" s="169"/>
      <c r="FD152" s="169"/>
      <c r="FE152" s="169"/>
      <c r="FF152" s="169"/>
      <c r="FG152" s="169"/>
      <c r="FH152" s="169"/>
      <c r="FI152" s="169"/>
      <c r="FJ152" s="169"/>
      <c r="FK152" s="169"/>
      <c r="FL152" s="169"/>
      <c r="FM152" s="169"/>
      <c r="FN152" s="169"/>
      <c r="FO152" s="169"/>
      <c r="FP152" s="169"/>
      <c r="FQ152" s="169"/>
      <c r="FR152" s="169"/>
      <c r="FS152" s="169"/>
      <c r="FT152" s="169"/>
      <c r="FU152" s="169"/>
      <c r="FV152" s="169"/>
      <c r="FW152" s="169"/>
      <c r="FX152" s="169"/>
      <c r="FY152" s="169"/>
      <c r="FZ152" s="169"/>
      <c r="GA152" s="169"/>
      <c r="GB152" s="169"/>
      <c r="GC152" s="169"/>
    </row>
    <row r="153" spans="1:185">
      <c r="A153" s="155"/>
      <c r="B153" s="156"/>
      <c r="BG153" s="138"/>
      <c r="BH153" s="138"/>
      <c r="BI153" s="138"/>
      <c r="BJ153" s="138"/>
      <c r="BK153" s="138"/>
      <c r="BL153" s="138"/>
      <c r="BM153" s="168"/>
      <c r="BN153" s="169"/>
      <c r="BO153" s="169"/>
      <c r="BP153" s="169"/>
      <c r="BQ153" s="169"/>
      <c r="BR153" s="169"/>
      <c r="BS153" s="169"/>
      <c r="BT153" s="169"/>
      <c r="BU153" s="169"/>
      <c r="BV153" s="169"/>
      <c r="BW153" s="169"/>
      <c r="BX153" s="169"/>
      <c r="BY153" s="169"/>
      <c r="BZ153" s="169"/>
      <c r="CA153" s="169"/>
      <c r="CB153" s="169"/>
      <c r="CC153" s="169"/>
      <c r="CD153" s="169"/>
      <c r="CE153" s="169"/>
      <c r="CF153" s="169"/>
      <c r="CG153" s="169"/>
      <c r="CH153" s="169"/>
      <c r="CI153" s="169"/>
      <c r="CJ153" s="169"/>
      <c r="CK153" s="169"/>
      <c r="CL153" s="169"/>
      <c r="CM153" s="169"/>
      <c r="CN153" s="169"/>
      <c r="CO153" s="169"/>
      <c r="CP153" s="169"/>
      <c r="CQ153" s="169"/>
      <c r="CR153" s="169"/>
      <c r="CS153" s="169"/>
      <c r="CT153" s="169"/>
      <c r="CU153" s="169"/>
      <c r="CV153" s="169"/>
      <c r="CW153" s="169"/>
      <c r="CX153" s="169"/>
      <c r="CY153" s="169"/>
      <c r="CZ153" s="169"/>
      <c r="DA153" s="169"/>
      <c r="DB153" s="169"/>
      <c r="DC153" s="169"/>
      <c r="DD153" s="169"/>
      <c r="DE153" s="169"/>
      <c r="DF153" s="169"/>
      <c r="DG153" s="169"/>
      <c r="DH153" s="169"/>
      <c r="DI153" s="169"/>
      <c r="DJ153" s="169"/>
      <c r="DK153" s="169"/>
      <c r="DL153" s="169"/>
      <c r="DM153" s="169"/>
      <c r="DN153" s="169"/>
      <c r="DO153" s="169"/>
      <c r="DP153" s="169"/>
      <c r="DQ153" s="169"/>
      <c r="DR153" s="169"/>
      <c r="DS153" s="169"/>
      <c r="DT153" s="169"/>
      <c r="DU153" s="169"/>
      <c r="DV153" s="169"/>
      <c r="DW153" s="169"/>
      <c r="DX153" s="169"/>
      <c r="DY153" s="169"/>
      <c r="DZ153" s="169"/>
      <c r="EA153" s="169"/>
      <c r="EB153" s="169"/>
      <c r="EC153" s="169"/>
      <c r="ED153" s="169"/>
      <c r="EE153" s="169"/>
      <c r="EF153" s="169"/>
      <c r="EG153" s="169"/>
      <c r="EH153" s="169"/>
      <c r="EI153" s="169"/>
      <c r="EJ153" s="169"/>
      <c r="EK153" s="169"/>
      <c r="EL153" s="169"/>
      <c r="EM153" s="169"/>
      <c r="EN153" s="169"/>
      <c r="EO153" s="169"/>
      <c r="EP153" s="169"/>
      <c r="EQ153" s="169"/>
      <c r="ER153" s="169"/>
      <c r="ES153" s="169"/>
      <c r="ET153" s="169"/>
      <c r="EU153" s="169"/>
      <c r="EV153" s="169"/>
      <c r="EW153" s="169"/>
      <c r="EX153" s="169"/>
      <c r="EY153" s="169"/>
      <c r="EZ153" s="169"/>
      <c r="FA153" s="169"/>
      <c r="FB153" s="169"/>
      <c r="FC153" s="169"/>
      <c r="FD153" s="169"/>
      <c r="FE153" s="169"/>
      <c r="FF153" s="169"/>
      <c r="FG153" s="169"/>
      <c r="FH153" s="169"/>
      <c r="FI153" s="169"/>
      <c r="FJ153" s="169"/>
      <c r="FK153" s="169"/>
      <c r="FL153" s="169"/>
      <c r="FM153" s="169"/>
      <c r="FN153" s="169"/>
      <c r="FO153" s="169"/>
      <c r="FP153" s="169"/>
      <c r="FQ153" s="169"/>
      <c r="FR153" s="169"/>
      <c r="FS153" s="169"/>
      <c r="FT153" s="169"/>
      <c r="FU153" s="169"/>
      <c r="FV153" s="169"/>
      <c r="FW153" s="169"/>
      <c r="FX153" s="169"/>
      <c r="FY153" s="169"/>
      <c r="FZ153" s="169"/>
      <c r="GA153" s="169"/>
      <c r="GB153" s="169"/>
      <c r="GC153" s="169"/>
    </row>
    <row r="154" spans="1:185">
      <c r="A154" s="155" t="s">
        <v>135</v>
      </c>
      <c r="B154" s="156"/>
      <c r="BG154" s="138"/>
      <c r="BH154" s="138"/>
      <c r="BI154" s="138"/>
      <c r="BJ154" s="138"/>
      <c r="BK154" s="138"/>
      <c r="BL154" s="138"/>
      <c r="BM154" s="168"/>
      <c r="BN154" s="169"/>
      <c r="BO154" s="169"/>
      <c r="BP154" s="169"/>
      <c r="BQ154" s="169"/>
      <c r="BR154" s="169"/>
      <c r="BS154" s="169"/>
      <c r="BT154" s="169"/>
      <c r="BU154" s="169"/>
      <c r="BV154" s="169"/>
      <c r="BW154" s="169"/>
      <c r="BX154" s="169"/>
      <c r="BY154" s="169"/>
      <c r="BZ154" s="169"/>
      <c r="CA154" s="169"/>
      <c r="CB154" s="169"/>
      <c r="CC154" s="169"/>
      <c r="CD154" s="169"/>
      <c r="CE154" s="169"/>
      <c r="CF154" s="169"/>
      <c r="CG154" s="169"/>
      <c r="CH154" s="169"/>
      <c r="CI154" s="169"/>
      <c r="CJ154" s="169"/>
      <c r="CK154" s="169"/>
      <c r="CL154" s="169"/>
      <c r="CM154" s="169"/>
      <c r="CN154" s="169"/>
      <c r="CO154" s="169"/>
      <c r="CP154" s="169"/>
      <c r="CQ154" s="169"/>
      <c r="CR154" s="169"/>
      <c r="CS154" s="169"/>
      <c r="CT154" s="169"/>
      <c r="CU154" s="169"/>
      <c r="CV154" s="169"/>
      <c r="CW154" s="169"/>
      <c r="CX154" s="169"/>
      <c r="CY154" s="169"/>
      <c r="CZ154" s="169"/>
      <c r="DA154" s="169"/>
      <c r="DB154" s="169"/>
      <c r="DC154" s="169"/>
      <c r="DD154" s="169"/>
      <c r="DE154" s="169"/>
      <c r="DF154" s="169"/>
      <c r="DG154" s="169"/>
      <c r="DH154" s="169"/>
      <c r="DI154" s="169"/>
      <c r="DJ154" s="169"/>
      <c r="DK154" s="169"/>
      <c r="DL154" s="169"/>
      <c r="DM154" s="169"/>
      <c r="DN154" s="169"/>
      <c r="DO154" s="169"/>
      <c r="DP154" s="169"/>
      <c r="DQ154" s="169"/>
      <c r="DR154" s="169"/>
      <c r="DS154" s="169"/>
      <c r="DT154" s="169"/>
      <c r="DU154" s="169"/>
      <c r="DV154" s="169"/>
      <c r="DW154" s="169"/>
      <c r="DX154" s="169"/>
      <c r="DY154" s="169"/>
      <c r="DZ154" s="169"/>
      <c r="EA154" s="169"/>
      <c r="EB154" s="169"/>
      <c r="EC154" s="169"/>
      <c r="ED154" s="169"/>
      <c r="EE154" s="169"/>
      <c r="EF154" s="169"/>
      <c r="EG154" s="169"/>
      <c r="EH154" s="169"/>
      <c r="EI154" s="169"/>
      <c r="EJ154" s="169"/>
      <c r="EK154" s="169"/>
      <c r="EL154" s="169"/>
      <c r="EM154" s="169"/>
      <c r="EN154" s="169"/>
      <c r="EO154" s="169"/>
      <c r="EP154" s="169"/>
      <c r="EQ154" s="169"/>
      <c r="ER154" s="169"/>
      <c r="ES154" s="169"/>
      <c r="ET154" s="169"/>
      <c r="EU154" s="169"/>
      <c r="EV154" s="169"/>
      <c r="EW154" s="169"/>
      <c r="EX154" s="169"/>
      <c r="EY154" s="169"/>
      <c r="EZ154" s="169"/>
      <c r="FA154" s="169"/>
      <c r="FB154" s="169"/>
      <c r="FC154" s="169"/>
      <c r="FD154" s="169"/>
      <c r="FE154" s="169"/>
      <c r="FF154" s="169"/>
      <c r="FG154" s="169"/>
      <c r="FH154" s="169"/>
      <c r="FI154" s="169"/>
      <c r="FJ154" s="169"/>
      <c r="FK154" s="169"/>
      <c r="FL154" s="169"/>
      <c r="FM154" s="169"/>
      <c r="FN154" s="169"/>
      <c r="FO154" s="169"/>
      <c r="FP154" s="169"/>
      <c r="FQ154" s="169"/>
      <c r="FR154" s="169"/>
      <c r="FS154" s="169"/>
      <c r="FT154" s="169"/>
      <c r="FU154" s="169"/>
      <c r="FV154" s="169"/>
      <c r="FW154" s="169"/>
      <c r="FX154" s="169"/>
      <c r="FY154" s="169"/>
      <c r="FZ154" s="169"/>
      <c r="GA154" s="169"/>
      <c r="GB154" s="169"/>
      <c r="GC154" s="169"/>
    </row>
    <row r="155" spans="1:185">
      <c r="A155" s="155" t="s">
        <v>136</v>
      </c>
      <c r="B155" s="156"/>
      <c r="BG155" s="138"/>
      <c r="BH155" s="138"/>
      <c r="BI155" s="138"/>
      <c r="BJ155" s="138"/>
      <c r="BK155" s="138"/>
      <c r="BL155" s="138"/>
      <c r="BM155" s="168">
        <f>BM154+BL155</f>
        <v>0</v>
      </c>
      <c r="BN155" s="169">
        <f>BN154+BM155</f>
        <v>0</v>
      </c>
      <c r="BO155" s="169"/>
      <c r="BP155" s="169"/>
      <c r="BQ155" s="169"/>
      <c r="BR155" s="169"/>
      <c r="BS155" s="169"/>
      <c r="BT155" s="169"/>
      <c r="BU155" s="169"/>
      <c r="BV155" s="169"/>
      <c r="BW155" s="169"/>
      <c r="BX155" s="169"/>
      <c r="BY155" s="169"/>
      <c r="BZ155" s="169"/>
      <c r="CA155" s="169"/>
      <c r="CB155" s="169"/>
      <c r="CC155" s="169"/>
      <c r="CD155" s="169"/>
      <c r="CE155" s="169"/>
      <c r="CF155" s="169"/>
      <c r="CG155" s="169"/>
      <c r="CH155" s="169"/>
      <c r="CI155" s="169"/>
      <c r="CJ155" s="169"/>
      <c r="CK155" s="169"/>
      <c r="CL155" s="169"/>
      <c r="CM155" s="169"/>
      <c r="CN155" s="169"/>
      <c r="CO155" s="169"/>
      <c r="CP155" s="169"/>
      <c r="CQ155" s="169"/>
      <c r="CR155" s="169"/>
      <c r="CS155" s="169"/>
      <c r="CT155" s="169"/>
      <c r="CU155" s="169"/>
      <c r="CV155" s="169"/>
      <c r="CW155" s="169"/>
      <c r="CX155" s="169"/>
      <c r="CY155" s="169"/>
      <c r="CZ155" s="169"/>
      <c r="DA155" s="169"/>
      <c r="DB155" s="169"/>
      <c r="DC155" s="169"/>
      <c r="DD155" s="169"/>
      <c r="DE155" s="169"/>
      <c r="DF155" s="169"/>
      <c r="DG155" s="169"/>
      <c r="DH155" s="169"/>
      <c r="DI155" s="169"/>
      <c r="DJ155" s="169"/>
      <c r="DK155" s="169"/>
      <c r="DL155" s="169"/>
      <c r="DM155" s="169"/>
      <c r="DN155" s="169"/>
      <c r="DO155" s="169"/>
      <c r="DP155" s="169"/>
      <c r="DQ155" s="169"/>
      <c r="DR155" s="169"/>
      <c r="DS155" s="169"/>
      <c r="DT155" s="169"/>
      <c r="DU155" s="169"/>
      <c r="DV155" s="169"/>
      <c r="DW155" s="169"/>
      <c r="DX155" s="169"/>
      <c r="DY155" s="169"/>
      <c r="DZ155" s="169"/>
      <c r="EA155" s="169"/>
      <c r="EB155" s="169"/>
      <c r="EC155" s="169"/>
      <c r="ED155" s="169"/>
      <c r="EE155" s="169"/>
      <c r="EF155" s="169"/>
      <c r="EG155" s="169"/>
      <c r="EH155" s="169"/>
      <c r="EI155" s="169"/>
      <c r="EJ155" s="169"/>
      <c r="EK155" s="169"/>
      <c r="EL155" s="169"/>
      <c r="EM155" s="169"/>
      <c r="EN155" s="169"/>
      <c r="EO155" s="169"/>
      <c r="EP155" s="169"/>
      <c r="EQ155" s="169"/>
      <c r="ER155" s="169"/>
      <c r="ES155" s="169"/>
      <c r="ET155" s="169"/>
      <c r="EU155" s="169"/>
      <c r="EV155" s="169"/>
      <c r="EW155" s="169"/>
      <c r="EX155" s="169"/>
      <c r="EY155" s="169"/>
      <c r="EZ155" s="169"/>
      <c r="FA155" s="169"/>
      <c r="FB155" s="169"/>
      <c r="FC155" s="169"/>
      <c r="FD155" s="169"/>
      <c r="FE155" s="169"/>
      <c r="FF155" s="169"/>
      <c r="FG155" s="169"/>
      <c r="FH155" s="169"/>
      <c r="FI155" s="169"/>
      <c r="FJ155" s="169"/>
      <c r="FK155" s="169"/>
      <c r="FL155" s="169"/>
      <c r="FM155" s="169"/>
      <c r="FN155" s="169"/>
      <c r="FO155" s="169"/>
      <c r="FP155" s="169"/>
      <c r="FQ155" s="169"/>
      <c r="FR155" s="169"/>
      <c r="FS155" s="169"/>
      <c r="FT155" s="169"/>
      <c r="FU155" s="169"/>
      <c r="FV155" s="169"/>
      <c r="FW155" s="169"/>
      <c r="FX155" s="169"/>
      <c r="FY155" s="169"/>
      <c r="FZ155" s="169"/>
      <c r="GA155" s="169"/>
      <c r="GB155" s="169"/>
      <c r="GC155" s="169"/>
    </row>
    <row r="156" spans="1:185">
      <c r="A156" s="155" t="s">
        <v>137</v>
      </c>
      <c r="B156" s="156"/>
      <c r="BG156" s="138"/>
      <c r="BH156" s="138"/>
      <c r="BI156" s="138"/>
      <c r="BJ156" s="138"/>
      <c r="BK156" s="138"/>
      <c r="BL156" s="138"/>
      <c r="BM156" s="168" t="e">
        <f ca="1">IF(BM$3&gt;=T2_1erSIGN,OFFSET(BM155,0,-DEC_SIG),0)</f>
        <v>#VALUE!</v>
      </c>
      <c r="BN156" s="169" t="e">
        <f ca="1">IF(BN$3&gt;=T2_1erSIGN,OFFSET(BN155,0,-DEC_SIG),0)</f>
        <v>#VALUE!</v>
      </c>
      <c r="BO156" s="169"/>
      <c r="BP156" s="169"/>
      <c r="BQ156" s="169"/>
      <c r="BR156" s="169"/>
      <c r="BS156" s="169"/>
      <c r="BT156" s="169"/>
      <c r="BU156" s="169"/>
      <c r="BV156" s="169"/>
      <c r="BW156" s="169"/>
      <c r="BX156" s="169"/>
      <c r="BY156" s="169"/>
      <c r="BZ156" s="169"/>
      <c r="CA156" s="169"/>
      <c r="CB156" s="169"/>
      <c r="CC156" s="169"/>
      <c r="CD156" s="169"/>
      <c r="CE156" s="169"/>
      <c r="CF156" s="169"/>
      <c r="CG156" s="169"/>
      <c r="CH156" s="169"/>
      <c r="CI156" s="169"/>
      <c r="CJ156" s="169"/>
      <c r="CK156" s="169"/>
      <c r="CL156" s="169"/>
      <c r="CM156" s="169"/>
      <c r="CN156" s="169"/>
      <c r="CO156" s="169"/>
      <c r="CP156" s="169"/>
      <c r="CQ156" s="169"/>
      <c r="CR156" s="169"/>
      <c r="CS156" s="169"/>
      <c r="CT156" s="169"/>
      <c r="CU156" s="169"/>
      <c r="CV156" s="169"/>
      <c r="CW156" s="169"/>
      <c r="CX156" s="169"/>
      <c r="CY156" s="169"/>
      <c r="CZ156" s="169"/>
      <c r="DA156" s="169"/>
      <c r="DB156" s="169"/>
      <c r="DC156" s="169"/>
      <c r="DD156" s="169"/>
      <c r="DE156" s="169"/>
      <c r="DF156" s="169"/>
      <c r="DG156" s="169"/>
      <c r="DH156" s="169"/>
      <c r="DI156" s="169"/>
      <c r="DJ156" s="169"/>
      <c r="DK156" s="169"/>
      <c r="DL156" s="169"/>
      <c r="DM156" s="169"/>
      <c r="DN156" s="169"/>
      <c r="DO156" s="169"/>
      <c r="DP156" s="169"/>
      <c r="DQ156" s="169"/>
      <c r="DR156" s="169"/>
      <c r="DS156" s="169"/>
      <c r="DT156" s="169"/>
      <c r="DU156" s="169"/>
      <c r="DV156" s="169"/>
      <c r="DW156" s="169"/>
      <c r="DX156" s="169"/>
      <c r="DY156" s="169"/>
      <c r="DZ156" s="169"/>
      <c r="EA156" s="169"/>
      <c r="EB156" s="169"/>
      <c r="EC156" s="169"/>
      <c r="ED156" s="169"/>
      <c r="EE156" s="169"/>
      <c r="EF156" s="169"/>
      <c r="EG156" s="169"/>
      <c r="EH156" s="169"/>
      <c r="EI156" s="169"/>
      <c r="EJ156" s="169"/>
      <c r="EK156" s="169"/>
      <c r="EL156" s="169"/>
      <c r="EM156" s="169"/>
      <c r="EN156" s="169"/>
      <c r="EO156" s="169"/>
      <c r="EP156" s="169"/>
      <c r="EQ156" s="169"/>
      <c r="ER156" s="169"/>
      <c r="ES156" s="169"/>
      <c r="ET156" s="169"/>
      <c r="EU156" s="169"/>
      <c r="EV156" s="169"/>
      <c r="EW156" s="169"/>
      <c r="EX156" s="169"/>
      <c r="EY156" s="169"/>
      <c r="EZ156" s="169"/>
      <c r="FA156" s="169"/>
      <c r="FB156" s="169"/>
      <c r="FC156" s="169"/>
      <c r="FD156" s="169"/>
      <c r="FE156" s="169"/>
      <c r="FF156" s="169"/>
      <c r="FG156" s="169"/>
      <c r="FH156" s="169"/>
      <c r="FI156" s="169"/>
      <c r="FJ156" s="169"/>
      <c r="FK156" s="169"/>
      <c r="FL156" s="169"/>
      <c r="FM156" s="169"/>
      <c r="FN156" s="169"/>
      <c r="FO156" s="169"/>
      <c r="FP156" s="169"/>
      <c r="FQ156" s="169"/>
      <c r="FR156" s="169"/>
      <c r="FS156" s="169"/>
      <c r="FT156" s="169"/>
      <c r="FU156" s="169"/>
      <c r="FV156" s="169"/>
      <c r="FW156" s="169"/>
      <c r="FX156" s="169"/>
      <c r="FY156" s="169"/>
      <c r="FZ156" s="169"/>
      <c r="GA156" s="169"/>
      <c r="GB156" s="169"/>
      <c r="GC156" s="169"/>
    </row>
    <row r="157" spans="1:185">
      <c r="A157" s="155"/>
      <c r="B157" s="156"/>
      <c r="BG157" s="138"/>
      <c r="BH157" s="138"/>
      <c r="BI157" s="138"/>
      <c r="BJ157" s="138"/>
      <c r="BK157" s="138"/>
      <c r="BL157" s="138"/>
      <c r="BM157" s="168"/>
      <c r="BN157" s="169"/>
      <c r="BO157" s="169"/>
      <c r="BP157" s="169"/>
      <c r="BQ157" s="169"/>
      <c r="BR157" s="169"/>
      <c r="BS157" s="169"/>
      <c r="BT157" s="169"/>
      <c r="BU157" s="169"/>
      <c r="BV157" s="169"/>
      <c r="BW157" s="169"/>
      <c r="BX157" s="169"/>
      <c r="BY157" s="169"/>
      <c r="BZ157" s="169"/>
      <c r="CA157" s="169"/>
      <c r="CB157" s="169"/>
      <c r="CC157" s="169"/>
      <c r="CD157" s="169"/>
      <c r="CE157" s="169"/>
      <c r="CF157" s="169"/>
      <c r="CG157" s="169"/>
      <c r="CH157" s="169"/>
      <c r="CI157" s="169"/>
      <c r="CJ157" s="169"/>
      <c r="CK157" s="169"/>
      <c r="CL157" s="169"/>
      <c r="CM157" s="169"/>
      <c r="CN157" s="169"/>
      <c r="CO157" s="169"/>
      <c r="CP157" s="169"/>
      <c r="CQ157" s="169"/>
      <c r="CR157" s="169"/>
      <c r="CS157" s="169"/>
      <c r="CT157" s="169"/>
      <c r="CU157" s="169"/>
      <c r="CV157" s="169"/>
      <c r="CW157" s="169"/>
      <c r="CX157" s="169"/>
      <c r="CY157" s="169"/>
      <c r="CZ157" s="169"/>
      <c r="DA157" s="169"/>
      <c r="DB157" s="169"/>
      <c r="DC157" s="169"/>
      <c r="DD157" s="169"/>
      <c r="DE157" s="169"/>
      <c r="DF157" s="169"/>
      <c r="DG157" s="169"/>
      <c r="DH157" s="169"/>
      <c r="DI157" s="169"/>
      <c r="DJ157" s="169"/>
      <c r="DK157" s="169"/>
      <c r="DL157" s="169"/>
      <c r="DM157" s="169"/>
      <c r="DN157" s="169"/>
      <c r="DO157" s="169"/>
      <c r="DP157" s="169"/>
      <c r="DQ157" s="169"/>
      <c r="DR157" s="169"/>
      <c r="DS157" s="169"/>
      <c r="DT157" s="169"/>
      <c r="DU157" s="169"/>
      <c r="DV157" s="169"/>
      <c r="DW157" s="169"/>
      <c r="DX157" s="169"/>
      <c r="DY157" s="169"/>
      <c r="DZ157" s="169"/>
      <c r="EA157" s="169"/>
      <c r="EB157" s="169"/>
      <c r="EC157" s="169"/>
      <c r="ED157" s="169"/>
      <c r="EE157" s="169"/>
      <c r="EF157" s="169"/>
      <c r="EG157" s="169"/>
      <c r="EH157" s="169"/>
      <c r="EI157" s="169"/>
      <c r="EJ157" s="169"/>
      <c r="EK157" s="169"/>
      <c r="EL157" s="169"/>
      <c r="EM157" s="169"/>
      <c r="EN157" s="169"/>
      <c r="EO157" s="169"/>
      <c r="EP157" s="169"/>
      <c r="EQ157" s="169"/>
      <c r="ER157" s="169"/>
      <c r="ES157" s="169"/>
      <c r="ET157" s="169"/>
      <c r="EU157" s="169"/>
      <c r="EV157" s="169"/>
      <c r="EW157" s="169"/>
      <c r="EX157" s="169"/>
      <c r="EY157" s="169"/>
      <c r="EZ157" s="169"/>
      <c r="FA157" s="169"/>
      <c r="FB157" s="169"/>
      <c r="FC157" s="169"/>
      <c r="FD157" s="169"/>
      <c r="FE157" s="169"/>
      <c r="FF157" s="169"/>
      <c r="FG157" s="169"/>
      <c r="FH157" s="169"/>
      <c r="FI157" s="169"/>
      <c r="FJ157" s="169"/>
      <c r="FK157" s="169"/>
      <c r="FL157" s="169"/>
      <c r="FM157" s="169"/>
      <c r="FN157" s="169"/>
      <c r="FO157" s="169"/>
      <c r="FP157" s="169"/>
      <c r="FQ157" s="169"/>
      <c r="FR157" s="169"/>
      <c r="FS157" s="169"/>
      <c r="FT157" s="169"/>
      <c r="FU157" s="169"/>
      <c r="FV157" s="169"/>
      <c r="FW157" s="169"/>
      <c r="FX157" s="169"/>
      <c r="FY157" s="169"/>
      <c r="FZ157" s="169"/>
      <c r="GA157" s="169"/>
      <c r="GB157" s="169"/>
      <c r="GC157" s="169"/>
    </row>
    <row r="158" spans="1:185">
      <c r="A158" s="155" t="s">
        <v>138</v>
      </c>
      <c r="B158" s="156"/>
      <c r="BG158" s="138"/>
      <c r="BH158" s="138"/>
      <c r="BI158" s="138"/>
      <c r="BJ158" s="138"/>
      <c r="BK158" s="138"/>
      <c r="BL158" s="138"/>
      <c r="BM158" s="168"/>
      <c r="BN158" s="169"/>
      <c r="BO158" s="169"/>
      <c r="BP158" s="169"/>
      <c r="BQ158" s="169"/>
      <c r="BR158" s="169"/>
      <c r="BS158" s="169"/>
      <c r="BT158" s="169"/>
      <c r="BU158" s="169"/>
      <c r="BV158" s="169"/>
      <c r="BW158" s="169"/>
      <c r="BX158" s="169"/>
      <c r="BY158" s="169"/>
      <c r="BZ158" s="169"/>
      <c r="CA158" s="169"/>
      <c r="CB158" s="169"/>
      <c r="CC158" s="169"/>
      <c r="CD158" s="169"/>
      <c r="CE158" s="169"/>
      <c r="CF158" s="169"/>
      <c r="CG158" s="169"/>
      <c r="CH158" s="169"/>
      <c r="CI158" s="169"/>
      <c r="CJ158" s="169"/>
      <c r="CK158" s="169"/>
      <c r="CL158" s="169"/>
      <c r="CM158" s="169"/>
      <c r="CN158" s="169"/>
      <c r="CO158" s="169"/>
      <c r="CP158" s="169"/>
      <c r="CQ158" s="169"/>
      <c r="CR158" s="169"/>
      <c r="CS158" s="169"/>
      <c r="CT158" s="169"/>
      <c r="CU158" s="169"/>
      <c r="CV158" s="169"/>
      <c r="CW158" s="169"/>
      <c r="CX158" s="169"/>
      <c r="CY158" s="169"/>
      <c r="CZ158" s="169"/>
      <c r="DA158" s="169"/>
      <c r="DB158" s="169"/>
      <c r="DC158" s="169"/>
      <c r="DD158" s="169"/>
      <c r="DE158" s="169"/>
      <c r="DF158" s="169"/>
      <c r="DG158" s="169"/>
      <c r="DH158" s="169"/>
      <c r="DI158" s="169"/>
      <c r="DJ158" s="169"/>
      <c r="DK158" s="169"/>
      <c r="DL158" s="169"/>
      <c r="DM158" s="169"/>
      <c r="DN158" s="169"/>
      <c r="DO158" s="169"/>
      <c r="DP158" s="169"/>
      <c r="DQ158" s="169"/>
      <c r="DR158" s="169"/>
      <c r="DS158" s="169"/>
      <c r="DT158" s="169"/>
      <c r="DU158" s="169"/>
      <c r="DV158" s="169"/>
      <c r="DW158" s="169"/>
      <c r="DX158" s="169"/>
      <c r="DY158" s="169"/>
      <c r="DZ158" s="169"/>
      <c r="EA158" s="169"/>
      <c r="EB158" s="169"/>
      <c r="EC158" s="169"/>
      <c r="ED158" s="169"/>
      <c r="EE158" s="169"/>
      <c r="EF158" s="169"/>
      <c r="EG158" s="169"/>
      <c r="EH158" s="169"/>
      <c r="EI158" s="169"/>
      <c r="EJ158" s="169"/>
      <c r="EK158" s="169"/>
      <c r="EL158" s="169"/>
      <c r="EM158" s="169"/>
      <c r="EN158" s="169"/>
      <c r="EO158" s="169"/>
      <c r="EP158" s="169"/>
      <c r="EQ158" s="169"/>
      <c r="ER158" s="169"/>
      <c r="ES158" s="169"/>
      <c r="ET158" s="169"/>
      <c r="EU158" s="169"/>
      <c r="EV158" s="169"/>
      <c r="EW158" s="169"/>
      <c r="EX158" s="169"/>
      <c r="EY158" s="169"/>
      <c r="EZ158" s="169"/>
      <c r="FA158" s="169"/>
      <c r="FB158" s="169"/>
      <c r="FC158" s="169"/>
      <c r="FD158" s="169"/>
      <c r="FE158" s="169"/>
      <c r="FF158" s="169"/>
      <c r="FG158" s="169"/>
      <c r="FH158" s="169"/>
      <c r="FI158" s="169"/>
      <c r="FJ158" s="169"/>
      <c r="FK158" s="169"/>
      <c r="FL158" s="169"/>
      <c r="FM158" s="169"/>
      <c r="FN158" s="169"/>
      <c r="FO158" s="169"/>
      <c r="FP158" s="169"/>
      <c r="FQ158" s="169"/>
      <c r="FR158" s="169"/>
      <c r="FS158" s="169"/>
      <c r="FT158" s="169"/>
      <c r="FU158" s="169"/>
      <c r="FV158" s="169"/>
      <c r="FW158" s="169"/>
      <c r="FX158" s="169"/>
      <c r="FY158" s="169"/>
      <c r="FZ158" s="169"/>
      <c r="GA158" s="169"/>
      <c r="GB158" s="169"/>
      <c r="GC158" s="169"/>
    </row>
    <row r="159" spans="1:185">
      <c r="A159" s="155" t="s">
        <v>139</v>
      </c>
      <c r="B159" s="156"/>
      <c r="BG159" s="138"/>
      <c r="BH159" s="138"/>
      <c r="BI159" s="138"/>
      <c r="BJ159" s="138"/>
      <c r="BK159" s="138"/>
      <c r="BL159" s="138"/>
      <c r="BM159" s="168">
        <f>BM158+BL159</f>
        <v>0</v>
      </c>
      <c r="BN159" s="169">
        <f>BN158+BM159</f>
        <v>0</v>
      </c>
      <c r="BO159" s="169"/>
      <c r="BP159" s="169"/>
      <c r="BQ159" s="169"/>
      <c r="BR159" s="169"/>
      <c r="BS159" s="169"/>
      <c r="BT159" s="169"/>
      <c r="BU159" s="169"/>
      <c r="BV159" s="169"/>
      <c r="BW159" s="169"/>
      <c r="BX159" s="169"/>
      <c r="BY159" s="169"/>
      <c r="BZ159" s="169"/>
      <c r="CA159" s="169"/>
      <c r="CB159" s="169"/>
      <c r="CC159" s="169"/>
      <c r="CD159" s="169"/>
      <c r="CE159" s="169"/>
      <c r="CF159" s="169"/>
      <c r="CG159" s="169"/>
      <c r="CH159" s="169"/>
      <c r="CI159" s="169"/>
      <c r="CJ159" s="169"/>
      <c r="CK159" s="169"/>
      <c r="CL159" s="169"/>
      <c r="CM159" s="169"/>
      <c r="CN159" s="169"/>
      <c r="CO159" s="169"/>
      <c r="CP159" s="169"/>
      <c r="CQ159" s="169"/>
      <c r="CR159" s="169"/>
      <c r="CS159" s="169"/>
      <c r="CT159" s="169"/>
      <c r="CU159" s="169"/>
      <c r="CV159" s="169"/>
      <c r="CW159" s="169"/>
      <c r="CX159" s="169"/>
      <c r="CY159" s="169"/>
      <c r="CZ159" s="169"/>
      <c r="DA159" s="169"/>
      <c r="DB159" s="169"/>
      <c r="DC159" s="169"/>
      <c r="DD159" s="169"/>
      <c r="DE159" s="169"/>
      <c r="DF159" s="169"/>
      <c r="DG159" s="169"/>
      <c r="DH159" s="169"/>
      <c r="DI159" s="169"/>
      <c r="DJ159" s="169"/>
      <c r="DK159" s="169"/>
      <c r="DL159" s="169"/>
      <c r="DM159" s="169"/>
      <c r="DN159" s="169"/>
      <c r="DO159" s="169"/>
      <c r="DP159" s="169"/>
      <c r="DQ159" s="169"/>
      <c r="DR159" s="169"/>
      <c r="DS159" s="169"/>
      <c r="DT159" s="169"/>
      <c r="DU159" s="169"/>
      <c r="DV159" s="169"/>
      <c r="DW159" s="169"/>
      <c r="DX159" s="169"/>
      <c r="DY159" s="169"/>
      <c r="DZ159" s="169"/>
      <c r="EA159" s="169"/>
      <c r="EB159" s="169"/>
      <c r="EC159" s="169"/>
      <c r="ED159" s="169"/>
      <c r="EE159" s="169"/>
      <c r="EF159" s="169"/>
      <c r="EG159" s="169"/>
      <c r="EH159" s="169"/>
      <c r="EI159" s="169"/>
      <c r="EJ159" s="169"/>
      <c r="EK159" s="169"/>
      <c r="EL159" s="169"/>
      <c r="EM159" s="169"/>
      <c r="EN159" s="169"/>
      <c r="EO159" s="169"/>
      <c r="EP159" s="169"/>
      <c r="EQ159" s="169"/>
      <c r="ER159" s="169"/>
      <c r="ES159" s="169"/>
      <c r="ET159" s="169"/>
      <c r="EU159" s="169"/>
      <c r="EV159" s="169"/>
      <c r="EW159" s="169"/>
      <c r="EX159" s="169"/>
      <c r="EY159" s="169"/>
      <c r="EZ159" s="169"/>
      <c r="FA159" s="169"/>
      <c r="FB159" s="169"/>
      <c r="FC159" s="169"/>
      <c r="FD159" s="169"/>
      <c r="FE159" s="169"/>
      <c r="FF159" s="169"/>
      <c r="FG159" s="169"/>
      <c r="FH159" s="169"/>
      <c r="FI159" s="169"/>
      <c r="FJ159" s="169"/>
      <c r="FK159" s="169"/>
      <c r="FL159" s="169"/>
      <c r="FM159" s="169"/>
      <c r="FN159" s="169"/>
      <c r="FO159" s="169"/>
      <c r="FP159" s="169"/>
      <c r="FQ159" s="169"/>
      <c r="FR159" s="169"/>
      <c r="FS159" s="169"/>
      <c r="FT159" s="169"/>
      <c r="FU159" s="169"/>
      <c r="FV159" s="169"/>
      <c r="FW159" s="169"/>
      <c r="FX159" s="169"/>
      <c r="FY159" s="169"/>
      <c r="FZ159" s="169"/>
      <c r="GA159" s="169"/>
      <c r="GB159" s="169"/>
      <c r="GC159" s="169"/>
    </row>
    <row r="160" spans="1:185">
      <c r="A160" s="155" t="s">
        <v>140</v>
      </c>
      <c r="B160" s="156"/>
      <c r="BG160" s="138"/>
      <c r="BH160" s="138"/>
      <c r="BI160" s="138"/>
      <c r="BJ160" s="138"/>
      <c r="BK160" s="138"/>
      <c r="BL160" s="138"/>
      <c r="BM160" s="168" t="e">
        <f ca="1">IF(BM$3&gt;=T3_1erSIGN,OFFSET(BM159,0,-DEC_SIG),0)</f>
        <v>#VALUE!</v>
      </c>
      <c r="BN160" s="169" t="e">
        <f ca="1">IF(BN$3&gt;=T3_1erSIGN,OFFSET(BN159,0,-DEC_SIG),0)</f>
        <v>#VALUE!</v>
      </c>
      <c r="BO160" s="169"/>
      <c r="BP160" s="169"/>
      <c r="BQ160" s="169"/>
      <c r="BR160" s="169"/>
      <c r="BS160" s="169"/>
      <c r="BT160" s="169"/>
      <c r="BU160" s="169"/>
      <c r="BV160" s="169"/>
      <c r="BW160" s="169"/>
      <c r="BX160" s="169"/>
      <c r="BY160" s="169"/>
      <c r="BZ160" s="169"/>
      <c r="CA160" s="169"/>
      <c r="CB160" s="169"/>
      <c r="CC160" s="169"/>
      <c r="CD160" s="169"/>
      <c r="CE160" s="169"/>
      <c r="CF160" s="169"/>
      <c r="CG160" s="169"/>
      <c r="CH160" s="169"/>
      <c r="CI160" s="169"/>
      <c r="CJ160" s="169"/>
      <c r="CK160" s="169"/>
      <c r="CL160" s="169"/>
      <c r="CM160" s="169"/>
      <c r="CN160" s="169"/>
      <c r="CO160" s="169"/>
      <c r="CP160" s="169"/>
      <c r="CQ160" s="169"/>
      <c r="CR160" s="169"/>
      <c r="CS160" s="169"/>
      <c r="CT160" s="169"/>
      <c r="CU160" s="169"/>
      <c r="CV160" s="169"/>
      <c r="CW160" s="169"/>
      <c r="CX160" s="169"/>
      <c r="CY160" s="169"/>
      <c r="CZ160" s="169"/>
      <c r="DA160" s="169"/>
      <c r="DB160" s="169"/>
      <c r="DC160" s="169"/>
      <c r="DD160" s="169"/>
      <c r="DE160" s="169"/>
      <c r="DF160" s="169"/>
      <c r="DG160" s="169"/>
      <c r="DH160" s="169"/>
      <c r="DI160" s="169"/>
      <c r="DJ160" s="169"/>
      <c r="DK160" s="169"/>
      <c r="DL160" s="169"/>
      <c r="DM160" s="169"/>
      <c r="DN160" s="169"/>
      <c r="DO160" s="169"/>
      <c r="DP160" s="169"/>
      <c r="DQ160" s="169"/>
      <c r="DR160" s="169"/>
      <c r="DS160" s="169"/>
      <c r="DT160" s="169"/>
      <c r="DU160" s="169"/>
      <c r="DV160" s="169"/>
      <c r="DW160" s="169"/>
      <c r="DX160" s="169"/>
      <c r="DY160" s="169"/>
      <c r="DZ160" s="169"/>
      <c r="EA160" s="169"/>
      <c r="EB160" s="169"/>
      <c r="EC160" s="169"/>
      <c r="ED160" s="169"/>
      <c r="EE160" s="169"/>
      <c r="EF160" s="169"/>
      <c r="EG160" s="169"/>
      <c r="EH160" s="169"/>
      <c r="EI160" s="169"/>
      <c r="EJ160" s="169"/>
      <c r="EK160" s="169"/>
      <c r="EL160" s="169"/>
      <c r="EM160" s="169"/>
      <c r="EN160" s="169"/>
      <c r="EO160" s="169"/>
      <c r="EP160" s="169"/>
      <c r="EQ160" s="169"/>
      <c r="ER160" s="169"/>
      <c r="ES160" s="169"/>
      <c r="ET160" s="169"/>
      <c r="EU160" s="169"/>
      <c r="EV160" s="169"/>
      <c r="EW160" s="169"/>
      <c r="EX160" s="169"/>
      <c r="EY160" s="169"/>
      <c r="EZ160" s="169"/>
      <c r="FA160" s="169"/>
      <c r="FB160" s="169"/>
      <c r="FC160" s="169"/>
      <c r="FD160" s="169"/>
      <c r="FE160" s="169"/>
      <c r="FF160" s="169"/>
      <c r="FG160" s="169"/>
      <c r="FH160" s="169"/>
      <c r="FI160" s="169"/>
      <c r="FJ160" s="169"/>
      <c r="FK160" s="169"/>
      <c r="FL160" s="169"/>
      <c r="FM160" s="169"/>
      <c r="FN160" s="169"/>
      <c r="FO160" s="169"/>
      <c r="FP160" s="169"/>
      <c r="FQ160" s="169"/>
      <c r="FR160" s="169"/>
      <c r="FS160" s="169"/>
      <c r="FT160" s="169"/>
      <c r="FU160" s="169"/>
      <c r="FV160" s="169"/>
      <c r="FW160" s="169"/>
      <c r="FX160" s="169"/>
      <c r="FY160" s="169"/>
      <c r="FZ160" s="169"/>
      <c r="GA160" s="169"/>
      <c r="GB160" s="169"/>
      <c r="GC160" s="169"/>
    </row>
    <row r="161" spans="1:185">
      <c r="A161" s="155"/>
      <c r="B161" s="156"/>
      <c r="BG161" s="138"/>
      <c r="BH161" s="138"/>
      <c r="BI161" s="138"/>
      <c r="BJ161" s="138"/>
      <c r="BK161" s="138"/>
      <c r="BL161" s="138"/>
      <c r="BM161" s="168"/>
      <c r="BN161" s="169"/>
      <c r="BO161" s="169"/>
      <c r="BP161" s="169"/>
      <c r="BQ161" s="169"/>
      <c r="BR161" s="169"/>
      <c r="BS161" s="169"/>
      <c r="BT161" s="169"/>
      <c r="BU161" s="169"/>
      <c r="BV161" s="169"/>
      <c r="BW161" s="169"/>
      <c r="BX161" s="169"/>
      <c r="BY161" s="169"/>
      <c r="BZ161" s="169"/>
      <c r="CA161" s="169"/>
      <c r="CB161" s="169"/>
      <c r="CC161" s="169"/>
      <c r="CD161" s="169"/>
      <c r="CE161" s="169"/>
      <c r="CF161" s="169"/>
      <c r="CG161" s="169"/>
      <c r="CH161" s="169"/>
      <c r="CI161" s="169"/>
      <c r="CJ161" s="169"/>
      <c r="CK161" s="169"/>
      <c r="CL161" s="169"/>
      <c r="CM161" s="169"/>
      <c r="CN161" s="169"/>
      <c r="CO161" s="169"/>
      <c r="CP161" s="169"/>
      <c r="CQ161" s="169"/>
      <c r="CR161" s="169"/>
      <c r="CS161" s="169"/>
      <c r="CT161" s="169"/>
      <c r="CU161" s="169"/>
      <c r="CV161" s="169"/>
      <c r="CW161" s="169"/>
      <c r="CX161" s="169"/>
      <c r="CY161" s="169"/>
      <c r="CZ161" s="169"/>
      <c r="DA161" s="169"/>
      <c r="DB161" s="169"/>
      <c r="DC161" s="169"/>
      <c r="DD161" s="169"/>
      <c r="DE161" s="169"/>
      <c r="DF161" s="169"/>
      <c r="DG161" s="169"/>
      <c r="DH161" s="169"/>
      <c r="DI161" s="169"/>
      <c r="DJ161" s="169"/>
      <c r="DK161" s="169"/>
      <c r="DL161" s="169"/>
      <c r="DM161" s="169"/>
      <c r="DN161" s="169"/>
      <c r="DO161" s="169"/>
      <c r="DP161" s="169"/>
      <c r="DQ161" s="169"/>
      <c r="DR161" s="169"/>
      <c r="DS161" s="169"/>
      <c r="DT161" s="169"/>
      <c r="DU161" s="169"/>
      <c r="DV161" s="169"/>
      <c r="DW161" s="169"/>
      <c r="DX161" s="169"/>
      <c r="DY161" s="169"/>
      <c r="DZ161" s="169"/>
      <c r="EA161" s="169"/>
      <c r="EB161" s="169"/>
      <c r="EC161" s="169"/>
      <c r="ED161" s="169"/>
      <c r="EE161" s="169"/>
      <c r="EF161" s="169"/>
      <c r="EG161" s="169"/>
      <c r="EH161" s="169"/>
      <c r="EI161" s="169"/>
      <c r="EJ161" s="169"/>
      <c r="EK161" s="169"/>
      <c r="EL161" s="169"/>
      <c r="EM161" s="169"/>
      <c r="EN161" s="169"/>
      <c r="EO161" s="169"/>
      <c r="EP161" s="169"/>
      <c r="EQ161" s="169"/>
      <c r="ER161" s="169"/>
      <c r="ES161" s="169"/>
      <c r="ET161" s="169"/>
      <c r="EU161" s="169"/>
      <c r="EV161" s="169"/>
      <c r="EW161" s="169"/>
      <c r="EX161" s="169"/>
      <c r="EY161" s="169"/>
      <c r="EZ161" s="169"/>
      <c r="FA161" s="169"/>
      <c r="FB161" s="169"/>
      <c r="FC161" s="169"/>
      <c r="FD161" s="169"/>
      <c r="FE161" s="169"/>
      <c r="FF161" s="169"/>
      <c r="FG161" s="169"/>
      <c r="FH161" s="169"/>
      <c r="FI161" s="169"/>
      <c r="FJ161" s="169"/>
      <c r="FK161" s="169"/>
      <c r="FL161" s="169"/>
      <c r="FM161" s="169"/>
      <c r="FN161" s="169"/>
      <c r="FO161" s="169"/>
      <c r="FP161" s="169"/>
      <c r="FQ161" s="169"/>
      <c r="FR161" s="169"/>
      <c r="FS161" s="169"/>
      <c r="FT161" s="169"/>
      <c r="FU161" s="169"/>
      <c r="FV161" s="169"/>
      <c r="FW161" s="169"/>
      <c r="FX161" s="169"/>
      <c r="FY161" s="169"/>
      <c r="FZ161" s="169"/>
      <c r="GA161" s="169"/>
      <c r="GB161" s="169"/>
      <c r="GC161" s="169"/>
    </row>
    <row r="162" spans="1:185">
      <c r="A162" s="155" t="s">
        <v>141</v>
      </c>
      <c r="B162" s="156"/>
      <c r="BG162" s="138"/>
      <c r="BH162" s="138"/>
      <c r="BI162" s="138"/>
      <c r="BJ162" s="138"/>
      <c r="BK162" s="138"/>
      <c r="BL162" s="138"/>
      <c r="BM162" s="168"/>
      <c r="BN162" s="169"/>
      <c r="BO162" s="169"/>
      <c r="BP162" s="169"/>
      <c r="BQ162" s="169"/>
      <c r="BR162" s="169"/>
      <c r="BS162" s="169"/>
      <c r="BT162" s="169"/>
      <c r="BU162" s="169"/>
      <c r="BV162" s="169"/>
      <c r="BW162" s="169"/>
      <c r="BX162" s="169"/>
      <c r="BY162" s="169"/>
      <c r="BZ162" s="169"/>
      <c r="CA162" s="169"/>
      <c r="CB162" s="169"/>
      <c r="CC162" s="169"/>
      <c r="CD162" s="169"/>
      <c r="CE162" s="169"/>
      <c r="CF162" s="169"/>
      <c r="CG162" s="169"/>
      <c r="CH162" s="169"/>
      <c r="CI162" s="169"/>
      <c r="CJ162" s="169"/>
      <c r="CK162" s="169"/>
      <c r="CL162" s="169"/>
      <c r="CM162" s="169"/>
      <c r="CN162" s="169"/>
      <c r="CO162" s="169"/>
      <c r="CP162" s="169"/>
      <c r="CQ162" s="169"/>
      <c r="CR162" s="169"/>
      <c r="CS162" s="169"/>
      <c r="CT162" s="169"/>
      <c r="CU162" s="169"/>
      <c r="CV162" s="169"/>
      <c r="CW162" s="169"/>
      <c r="CX162" s="169"/>
      <c r="CY162" s="169"/>
      <c r="CZ162" s="169"/>
      <c r="DA162" s="169"/>
      <c r="DB162" s="169"/>
      <c r="DC162" s="169"/>
      <c r="DD162" s="169"/>
      <c r="DE162" s="169"/>
      <c r="DF162" s="169"/>
      <c r="DG162" s="169"/>
      <c r="DH162" s="169"/>
      <c r="DI162" s="169"/>
      <c r="DJ162" s="169"/>
      <c r="DK162" s="169"/>
      <c r="DL162" s="169"/>
      <c r="DM162" s="169"/>
      <c r="DN162" s="169"/>
      <c r="DO162" s="169"/>
      <c r="DP162" s="169"/>
      <c r="DQ162" s="169"/>
      <c r="DR162" s="169"/>
      <c r="DS162" s="169"/>
      <c r="DT162" s="169"/>
      <c r="DU162" s="169"/>
      <c r="DV162" s="169"/>
      <c r="DW162" s="169"/>
      <c r="DX162" s="169"/>
      <c r="DY162" s="169"/>
      <c r="DZ162" s="169"/>
      <c r="EA162" s="169"/>
      <c r="EB162" s="169"/>
      <c r="EC162" s="169"/>
      <c r="ED162" s="169"/>
      <c r="EE162" s="169"/>
      <c r="EF162" s="169"/>
      <c r="EG162" s="169"/>
      <c r="EH162" s="169"/>
      <c r="EI162" s="169"/>
      <c r="EJ162" s="169"/>
      <c r="EK162" s="169"/>
      <c r="EL162" s="169"/>
      <c r="EM162" s="169"/>
      <c r="EN162" s="169"/>
      <c r="EO162" s="169"/>
      <c r="EP162" s="169"/>
      <c r="EQ162" s="169"/>
      <c r="ER162" s="169"/>
      <c r="ES162" s="169"/>
      <c r="ET162" s="169"/>
      <c r="EU162" s="169"/>
      <c r="EV162" s="169"/>
      <c r="EW162" s="169"/>
      <c r="EX162" s="169"/>
      <c r="EY162" s="169"/>
      <c r="EZ162" s="169"/>
      <c r="FA162" s="169"/>
      <c r="FB162" s="169"/>
      <c r="FC162" s="169"/>
      <c r="FD162" s="169"/>
      <c r="FE162" s="169"/>
      <c r="FF162" s="169"/>
      <c r="FG162" s="169"/>
      <c r="FH162" s="169"/>
      <c r="FI162" s="169"/>
      <c r="FJ162" s="169"/>
      <c r="FK162" s="169"/>
      <c r="FL162" s="169"/>
      <c r="FM162" s="169"/>
      <c r="FN162" s="169"/>
      <c r="FO162" s="169"/>
      <c r="FP162" s="169"/>
      <c r="FQ162" s="169"/>
      <c r="FR162" s="169"/>
      <c r="FS162" s="169"/>
      <c r="FT162" s="169"/>
      <c r="FU162" s="169"/>
      <c r="FV162" s="169"/>
      <c r="FW162" s="169"/>
      <c r="FX162" s="169"/>
      <c r="FY162" s="169"/>
      <c r="FZ162" s="169"/>
      <c r="GA162" s="169"/>
      <c r="GB162" s="169"/>
      <c r="GC162" s="169"/>
    </row>
    <row r="163" spans="1:185">
      <c r="A163" s="155" t="s">
        <v>142</v>
      </c>
      <c r="B163" s="156"/>
      <c r="BG163" s="138"/>
      <c r="BH163" s="138"/>
      <c r="BI163" s="138"/>
      <c r="BJ163" s="138"/>
      <c r="BK163" s="138"/>
      <c r="BL163" s="138"/>
      <c r="BM163" s="168">
        <f>BM162+BL163</f>
        <v>0</v>
      </c>
      <c r="BN163" s="169">
        <f>BN162+BM163</f>
        <v>0</v>
      </c>
      <c r="BO163" s="169"/>
      <c r="BP163" s="169"/>
      <c r="BQ163" s="169"/>
      <c r="BR163" s="169"/>
      <c r="BS163" s="169"/>
      <c r="BT163" s="169"/>
      <c r="BU163" s="169"/>
      <c r="BV163" s="169"/>
      <c r="BW163" s="169"/>
      <c r="BX163" s="169"/>
      <c r="BY163" s="169"/>
      <c r="BZ163" s="169"/>
      <c r="CA163" s="169"/>
      <c r="CB163" s="169"/>
      <c r="CC163" s="169"/>
      <c r="CD163" s="169"/>
      <c r="CE163" s="169"/>
      <c r="CF163" s="169"/>
      <c r="CG163" s="169"/>
      <c r="CH163" s="169"/>
      <c r="CI163" s="169"/>
      <c r="CJ163" s="169"/>
      <c r="CK163" s="169"/>
      <c r="CL163" s="169"/>
      <c r="CM163" s="169"/>
      <c r="CN163" s="169"/>
      <c r="CO163" s="169"/>
      <c r="CP163" s="169"/>
      <c r="CQ163" s="169"/>
      <c r="CR163" s="169"/>
      <c r="CS163" s="169"/>
      <c r="CT163" s="169"/>
      <c r="CU163" s="169"/>
      <c r="CV163" s="169"/>
      <c r="CW163" s="169"/>
      <c r="CX163" s="169"/>
      <c r="CY163" s="169"/>
      <c r="CZ163" s="169"/>
      <c r="DA163" s="169"/>
      <c r="DB163" s="169"/>
      <c r="DC163" s="169"/>
      <c r="DD163" s="169"/>
      <c r="DE163" s="169"/>
      <c r="DF163" s="169"/>
      <c r="DG163" s="169"/>
      <c r="DH163" s="169"/>
      <c r="DI163" s="169"/>
      <c r="DJ163" s="169"/>
      <c r="DK163" s="169"/>
      <c r="DL163" s="169"/>
      <c r="DM163" s="169"/>
      <c r="DN163" s="169"/>
      <c r="DO163" s="169"/>
      <c r="DP163" s="169"/>
      <c r="DQ163" s="169"/>
      <c r="DR163" s="169"/>
      <c r="DS163" s="169"/>
      <c r="DT163" s="169"/>
      <c r="DU163" s="169"/>
      <c r="DV163" s="169"/>
      <c r="DW163" s="169"/>
      <c r="DX163" s="169"/>
      <c r="DY163" s="169"/>
      <c r="DZ163" s="169"/>
      <c r="EA163" s="169"/>
      <c r="EB163" s="169"/>
      <c r="EC163" s="169"/>
      <c r="ED163" s="169"/>
      <c r="EE163" s="169"/>
      <c r="EF163" s="169"/>
      <c r="EG163" s="169"/>
      <c r="EH163" s="169"/>
      <c r="EI163" s="169"/>
      <c r="EJ163" s="169"/>
      <c r="EK163" s="169"/>
      <c r="EL163" s="169"/>
      <c r="EM163" s="169"/>
      <c r="EN163" s="169"/>
      <c r="EO163" s="169"/>
      <c r="EP163" s="169"/>
      <c r="EQ163" s="169"/>
      <c r="ER163" s="169"/>
      <c r="ES163" s="169"/>
      <c r="ET163" s="169"/>
      <c r="EU163" s="169"/>
      <c r="EV163" s="169"/>
      <c r="EW163" s="169"/>
      <c r="EX163" s="169"/>
      <c r="EY163" s="169"/>
      <c r="EZ163" s="169"/>
      <c r="FA163" s="169"/>
      <c r="FB163" s="169"/>
      <c r="FC163" s="169"/>
      <c r="FD163" s="169"/>
      <c r="FE163" s="169"/>
      <c r="FF163" s="169"/>
      <c r="FG163" s="169"/>
      <c r="FH163" s="169"/>
      <c r="FI163" s="169"/>
      <c r="FJ163" s="169"/>
      <c r="FK163" s="169"/>
      <c r="FL163" s="169"/>
      <c r="FM163" s="169"/>
      <c r="FN163" s="169"/>
      <c r="FO163" s="169"/>
      <c r="FP163" s="169"/>
      <c r="FQ163" s="169"/>
      <c r="FR163" s="169"/>
      <c r="FS163" s="169"/>
      <c r="FT163" s="169"/>
      <c r="FU163" s="169"/>
      <c r="FV163" s="169"/>
      <c r="FW163" s="169"/>
      <c r="FX163" s="169"/>
      <c r="FY163" s="169"/>
      <c r="FZ163" s="169"/>
      <c r="GA163" s="169"/>
      <c r="GB163" s="169"/>
      <c r="GC163" s="169"/>
    </row>
    <row r="164" spans="1:185">
      <c r="A164" s="155" t="s">
        <v>143</v>
      </c>
      <c r="B164" s="156"/>
      <c r="BG164" s="138"/>
      <c r="BH164" s="138"/>
      <c r="BI164" s="138"/>
      <c r="BJ164" s="138"/>
      <c r="BK164" s="138"/>
      <c r="BL164" s="138"/>
      <c r="BM164" s="168" t="e">
        <f ca="1">IF(BM$3&gt;=T4_1erSIGN,OFFSET(BM163,0,-DEC_SIG),0)</f>
        <v>#VALUE!</v>
      </c>
      <c r="BN164" s="169" t="e">
        <f ca="1">IF(BN$3&gt;=T4_1erSIGN,OFFSET(BN163,0,-DEC_SIG),0)</f>
        <v>#VALUE!</v>
      </c>
      <c r="BO164" s="169"/>
      <c r="BP164" s="169"/>
      <c r="BQ164" s="169"/>
      <c r="BR164" s="169"/>
      <c r="BS164" s="169"/>
      <c r="BT164" s="169"/>
      <c r="BU164" s="169"/>
      <c r="BV164" s="169"/>
      <c r="BW164" s="169"/>
      <c r="BX164" s="169"/>
      <c r="BY164" s="169"/>
      <c r="BZ164" s="169"/>
      <c r="CA164" s="169"/>
      <c r="CB164" s="169"/>
      <c r="CC164" s="169"/>
      <c r="CD164" s="169"/>
      <c r="CE164" s="169"/>
      <c r="CF164" s="169"/>
      <c r="CG164" s="169"/>
      <c r="CH164" s="169"/>
      <c r="CI164" s="169"/>
      <c r="CJ164" s="169"/>
      <c r="CK164" s="169"/>
      <c r="CL164" s="169"/>
      <c r="CM164" s="169"/>
      <c r="CN164" s="169"/>
      <c r="CO164" s="169"/>
      <c r="CP164" s="169"/>
      <c r="CQ164" s="169"/>
      <c r="CR164" s="169"/>
      <c r="CS164" s="169"/>
      <c r="CT164" s="169"/>
      <c r="CU164" s="169"/>
      <c r="CV164" s="169"/>
      <c r="CW164" s="169"/>
      <c r="CX164" s="169"/>
      <c r="CY164" s="169"/>
      <c r="CZ164" s="169"/>
      <c r="DA164" s="169"/>
      <c r="DB164" s="169"/>
      <c r="DC164" s="169"/>
      <c r="DD164" s="169"/>
      <c r="DE164" s="169"/>
      <c r="DF164" s="169"/>
      <c r="DG164" s="169"/>
      <c r="DH164" s="169"/>
      <c r="DI164" s="169"/>
      <c r="DJ164" s="169"/>
      <c r="DK164" s="169"/>
      <c r="DL164" s="169"/>
      <c r="DM164" s="169"/>
      <c r="DN164" s="169"/>
      <c r="DO164" s="169"/>
      <c r="DP164" s="169"/>
      <c r="DQ164" s="169"/>
      <c r="DR164" s="169"/>
      <c r="DS164" s="169"/>
      <c r="DT164" s="169"/>
      <c r="DU164" s="169"/>
      <c r="DV164" s="169"/>
      <c r="DW164" s="169"/>
      <c r="DX164" s="169"/>
      <c r="DY164" s="169"/>
      <c r="DZ164" s="169"/>
      <c r="EA164" s="169"/>
      <c r="EB164" s="169"/>
      <c r="EC164" s="169"/>
      <c r="ED164" s="169"/>
      <c r="EE164" s="169"/>
      <c r="EF164" s="169"/>
      <c r="EG164" s="169"/>
      <c r="EH164" s="169"/>
      <c r="EI164" s="169"/>
      <c r="EJ164" s="169"/>
      <c r="EK164" s="169"/>
      <c r="EL164" s="169"/>
      <c r="EM164" s="169"/>
      <c r="EN164" s="169"/>
      <c r="EO164" s="169"/>
      <c r="EP164" s="169"/>
      <c r="EQ164" s="169"/>
      <c r="ER164" s="169"/>
      <c r="ES164" s="169"/>
      <c r="ET164" s="169"/>
      <c r="EU164" s="169"/>
      <c r="EV164" s="169"/>
      <c r="EW164" s="169"/>
      <c r="EX164" s="169"/>
      <c r="EY164" s="169"/>
      <c r="EZ164" s="169"/>
      <c r="FA164" s="169"/>
      <c r="FB164" s="169"/>
      <c r="FC164" s="169"/>
      <c r="FD164" s="169"/>
      <c r="FE164" s="169"/>
      <c r="FF164" s="169"/>
      <c r="FG164" s="169"/>
      <c r="FH164" s="169"/>
      <c r="FI164" s="169"/>
      <c r="FJ164" s="169"/>
      <c r="FK164" s="169"/>
      <c r="FL164" s="169"/>
      <c r="FM164" s="169"/>
      <c r="FN164" s="169"/>
      <c r="FO164" s="169"/>
      <c r="FP164" s="169"/>
      <c r="FQ164" s="169"/>
      <c r="FR164" s="169"/>
      <c r="FS164" s="169"/>
      <c r="FT164" s="169"/>
      <c r="FU164" s="169"/>
      <c r="FV164" s="169"/>
      <c r="FW164" s="169"/>
      <c r="FX164" s="169"/>
      <c r="FY164" s="169"/>
      <c r="FZ164" s="169"/>
      <c r="GA164" s="169"/>
      <c r="GB164" s="169"/>
      <c r="GC164" s="169"/>
    </row>
    <row r="165" spans="1:185">
      <c r="A165" s="155"/>
      <c r="B165" s="156"/>
      <c r="BG165" s="138"/>
      <c r="BH165" s="138"/>
      <c r="BI165" s="138"/>
      <c r="BJ165" s="138"/>
      <c r="BK165" s="138"/>
      <c r="BL165" s="138"/>
      <c r="BM165" s="168"/>
      <c r="BN165" s="169"/>
      <c r="BO165" s="169"/>
      <c r="BP165" s="169"/>
      <c r="BQ165" s="169"/>
      <c r="BR165" s="169"/>
      <c r="BS165" s="169"/>
      <c r="BT165" s="169"/>
      <c r="BU165" s="169"/>
      <c r="BV165" s="169"/>
      <c r="BW165" s="169"/>
      <c r="BX165" s="169"/>
      <c r="BY165" s="169"/>
      <c r="BZ165" s="169"/>
      <c r="CA165" s="169"/>
      <c r="CB165" s="169"/>
      <c r="CC165" s="169"/>
      <c r="CD165" s="169"/>
      <c r="CE165" s="169"/>
      <c r="CF165" s="169"/>
      <c r="CG165" s="169"/>
      <c r="CH165" s="169"/>
      <c r="CI165" s="169"/>
      <c r="CJ165" s="169"/>
      <c r="CK165" s="169"/>
      <c r="CL165" s="169"/>
      <c r="CM165" s="169"/>
      <c r="CN165" s="169"/>
      <c r="CO165" s="169"/>
      <c r="CP165" s="169"/>
      <c r="CQ165" s="169"/>
      <c r="CR165" s="169"/>
      <c r="CS165" s="169"/>
      <c r="CT165" s="169"/>
      <c r="CU165" s="169"/>
      <c r="CV165" s="169"/>
      <c r="CW165" s="169"/>
      <c r="CX165" s="169"/>
      <c r="CY165" s="169"/>
      <c r="CZ165" s="169"/>
      <c r="DA165" s="169"/>
      <c r="DB165" s="169"/>
      <c r="DC165" s="169"/>
      <c r="DD165" s="169"/>
      <c r="DE165" s="169"/>
      <c r="DF165" s="169"/>
      <c r="DG165" s="169"/>
      <c r="DH165" s="169"/>
      <c r="DI165" s="169"/>
      <c r="DJ165" s="169"/>
      <c r="DK165" s="169"/>
      <c r="DL165" s="169"/>
      <c r="DM165" s="169"/>
      <c r="DN165" s="169"/>
      <c r="DO165" s="169"/>
      <c r="DP165" s="169"/>
      <c r="DQ165" s="169"/>
      <c r="DR165" s="169"/>
      <c r="DS165" s="169"/>
      <c r="DT165" s="169"/>
      <c r="DU165" s="169"/>
      <c r="DV165" s="169"/>
      <c r="DW165" s="169"/>
      <c r="DX165" s="169"/>
      <c r="DY165" s="169"/>
      <c r="DZ165" s="169"/>
      <c r="EA165" s="169"/>
      <c r="EB165" s="169"/>
      <c r="EC165" s="169"/>
      <c r="ED165" s="169"/>
      <c r="EE165" s="169"/>
      <c r="EF165" s="169"/>
      <c r="EG165" s="169"/>
      <c r="EH165" s="169"/>
      <c r="EI165" s="169"/>
      <c r="EJ165" s="169"/>
      <c r="EK165" s="169"/>
      <c r="EL165" s="169"/>
      <c r="EM165" s="169"/>
      <c r="EN165" s="169"/>
      <c r="EO165" s="169"/>
      <c r="EP165" s="169"/>
      <c r="EQ165" s="169"/>
      <c r="ER165" s="169"/>
      <c r="ES165" s="169"/>
      <c r="ET165" s="169"/>
      <c r="EU165" s="169"/>
      <c r="EV165" s="169"/>
      <c r="EW165" s="169"/>
      <c r="EX165" s="169"/>
      <c r="EY165" s="169"/>
      <c r="EZ165" s="169"/>
      <c r="FA165" s="169"/>
      <c r="FB165" s="169"/>
      <c r="FC165" s="169"/>
      <c r="FD165" s="169"/>
      <c r="FE165" s="169"/>
      <c r="FF165" s="169"/>
      <c r="FG165" s="169"/>
      <c r="FH165" s="169"/>
      <c r="FI165" s="169"/>
      <c r="FJ165" s="169"/>
      <c r="FK165" s="169"/>
      <c r="FL165" s="169"/>
      <c r="FM165" s="169"/>
      <c r="FN165" s="169"/>
      <c r="FO165" s="169"/>
      <c r="FP165" s="169"/>
      <c r="FQ165" s="169"/>
      <c r="FR165" s="169"/>
      <c r="FS165" s="169"/>
      <c r="FT165" s="169"/>
      <c r="FU165" s="169"/>
      <c r="FV165" s="169"/>
      <c r="FW165" s="169"/>
      <c r="FX165" s="169"/>
      <c r="FY165" s="169"/>
      <c r="FZ165" s="169"/>
      <c r="GA165" s="169"/>
      <c r="GB165" s="169"/>
      <c r="GC165" s="169"/>
    </row>
    <row r="166" spans="1:185">
      <c r="A166" s="155" t="s">
        <v>144</v>
      </c>
      <c r="B166" s="156"/>
      <c r="BG166" s="138"/>
      <c r="BH166" s="138"/>
      <c r="BI166" s="138"/>
      <c r="BJ166" s="138"/>
      <c r="BK166" s="138"/>
      <c r="BL166" s="138"/>
      <c r="BM166" s="168"/>
      <c r="BN166" s="169"/>
      <c r="BO166" s="169"/>
      <c r="BP166" s="169"/>
      <c r="BQ166" s="169"/>
      <c r="BR166" s="169"/>
      <c r="BS166" s="169"/>
      <c r="BT166" s="169"/>
      <c r="BU166" s="169"/>
      <c r="BV166" s="169"/>
      <c r="BW166" s="169"/>
      <c r="BX166" s="169"/>
      <c r="BY166" s="169"/>
      <c r="BZ166" s="169"/>
      <c r="CA166" s="169"/>
      <c r="CB166" s="169"/>
      <c r="CC166" s="169"/>
      <c r="CD166" s="169"/>
      <c r="CE166" s="169"/>
      <c r="CF166" s="169"/>
      <c r="CG166" s="169"/>
      <c r="CH166" s="169"/>
      <c r="CI166" s="169"/>
      <c r="CJ166" s="169"/>
      <c r="CK166" s="169"/>
      <c r="CL166" s="169"/>
      <c r="CM166" s="169"/>
      <c r="CN166" s="169"/>
      <c r="CO166" s="169"/>
      <c r="CP166" s="169"/>
      <c r="CQ166" s="169"/>
      <c r="CR166" s="169"/>
      <c r="CS166" s="169"/>
      <c r="CT166" s="169"/>
      <c r="CU166" s="169"/>
      <c r="CV166" s="169"/>
      <c r="CW166" s="169"/>
      <c r="CX166" s="169"/>
      <c r="CY166" s="169"/>
      <c r="CZ166" s="169"/>
      <c r="DA166" s="169"/>
      <c r="DB166" s="169"/>
      <c r="DC166" s="169"/>
      <c r="DD166" s="169"/>
      <c r="DE166" s="169"/>
      <c r="DF166" s="169"/>
      <c r="DG166" s="169"/>
      <c r="DH166" s="169"/>
      <c r="DI166" s="169"/>
      <c r="DJ166" s="169"/>
      <c r="DK166" s="169"/>
      <c r="DL166" s="169"/>
      <c r="DM166" s="169"/>
      <c r="DN166" s="169"/>
      <c r="DO166" s="169"/>
      <c r="DP166" s="169"/>
      <c r="DQ166" s="169"/>
      <c r="DR166" s="169"/>
      <c r="DS166" s="169"/>
      <c r="DT166" s="169"/>
      <c r="DU166" s="169"/>
      <c r="DV166" s="169"/>
      <c r="DW166" s="169"/>
      <c r="DX166" s="169"/>
      <c r="DY166" s="169"/>
      <c r="DZ166" s="169"/>
      <c r="EA166" s="169"/>
      <c r="EB166" s="169"/>
      <c r="EC166" s="169"/>
      <c r="ED166" s="169"/>
      <c r="EE166" s="169"/>
      <c r="EF166" s="169"/>
      <c r="EG166" s="169"/>
      <c r="EH166" s="169"/>
      <c r="EI166" s="169"/>
      <c r="EJ166" s="169"/>
      <c r="EK166" s="169"/>
      <c r="EL166" s="169"/>
      <c r="EM166" s="169"/>
      <c r="EN166" s="169"/>
      <c r="EO166" s="169"/>
      <c r="EP166" s="169"/>
      <c r="EQ166" s="169"/>
      <c r="ER166" s="169"/>
      <c r="ES166" s="169"/>
      <c r="ET166" s="169"/>
      <c r="EU166" s="169"/>
      <c r="EV166" s="169"/>
      <c r="EW166" s="169"/>
      <c r="EX166" s="169"/>
      <c r="EY166" s="169"/>
      <c r="EZ166" s="169"/>
      <c r="FA166" s="169"/>
      <c r="FB166" s="169"/>
      <c r="FC166" s="169"/>
      <c r="FD166" s="169"/>
      <c r="FE166" s="169"/>
      <c r="FF166" s="169"/>
      <c r="FG166" s="169"/>
      <c r="FH166" s="169"/>
      <c r="FI166" s="169"/>
      <c r="FJ166" s="169"/>
      <c r="FK166" s="169"/>
      <c r="FL166" s="169"/>
      <c r="FM166" s="169"/>
      <c r="FN166" s="169"/>
      <c r="FO166" s="169"/>
      <c r="FP166" s="169"/>
      <c r="FQ166" s="169"/>
      <c r="FR166" s="169"/>
      <c r="FS166" s="169"/>
      <c r="FT166" s="169"/>
      <c r="FU166" s="169"/>
      <c r="FV166" s="169"/>
      <c r="FW166" s="169"/>
      <c r="FX166" s="169"/>
      <c r="FY166" s="169"/>
      <c r="FZ166" s="169"/>
      <c r="GA166" s="169"/>
      <c r="GB166" s="169"/>
      <c r="GC166" s="169"/>
    </row>
    <row r="167" spans="1:185">
      <c r="A167" s="155" t="s">
        <v>145</v>
      </c>
      <c r="B167" s="156"/>
      <c r="BG167" s="138"/>
      <c r="BH167" s="138"/>
      <c r="BI167" s="138"/>
      <c r="BJ167" s="138"/>
      <c r="BK167" s="138"/>
      <c r="BL167" s="138"/>
      <c r="BM167" s="168">
        <f>BM166+BL167</f>
        <v>0</v>
      </c>
      <c r="BN167" s="169">
        <f>BN166+BM167</f>
        <v>0</v>
      </c>
      <c r="BO167" s="169"/>
      <c r="BP167" s="169"/>
      <c r="BQ167" s="169"/>
      <c r="BR167" s="169"/>
      <c r="BS167" s="169"/>
      <c r="BT167" s="169"/>
      <c r="BU167" s="169"/>
      <c r="BV167" s="169"/>
      <c r="BW167" s="169"/>
      <c r="BX167" s="169"/>
      <c r="BY167" s="169"/>
      <c r="BZ167" s="169"/>
      <c r="CA167" s="169"/>
      <c r="CB167" s="169"/>
      <c r="CC167" s="169"/>
      <c r="CD167" s="169"/>
      <c r="CE167" s="169"/>
      <c r="CF167" s="169"/>
      <c r="CG167" s="169"/>
      <c r="CH167" s="169"/>
      <c r="CI167" s="169"/>
      <c r="CJ167" s="169"/>
      <c r="CK167" s="169"/>
      <c r="CL167" s="169"/>
      <c r="CM167" s="169"/>
      <c r="CN167" s="169"/>
      <c r="CO167" s="169"/>
      <c r="CP167" s="169"/>
      <c r="CQ167" s="169"/>
      <c r="CR167" s="169"/>
      <c r="CS167" s="169"/>
      <c r="CT167" s="169"/>
      <c r="CU167" s="169"/>
      <c r="CV167" s="169"/>
      <c r="CW167" s="169"/>
      <c r="CX167" s="169"/>
      <c r="CY167" s="169"/>
      <c r="CZ167" s="169"/>
      <c r="DA167" s="169"/>
      <c r="DB167" s="169"/>
      <c r="DC167" s="169"/>
      <c r="DD167" s="169"/>
      <c r="DE167" s="169"/>
      <c r="DF167" s="169"/>
      <c r="DG167" s="169"/>
      <c r="DH167" s="169"/>
      <c r="DI167" s="169"/>
      <c r="DJ167" s="169"/>
      <c r="DK167" s="169"/>
      <c r="DL167" s="169"/>
      <c r="DM167" s="169"/>
      <c r="DN167" s="169"/>
      <c r="DO167" s="169"/>
      <c r="DP167" s="169"/>
      <c r="DQ167" s="169"/>
      <c r="DR167" s="169"/>
      <c r="DS167" s="169"/>
      <c r="DT167" s="169"/>
      <c r="DU167" s="169"/>
      <c r="DV167" s="169"/>
      <c r="DW167" s="169"/>
      <c r="DX167" s="169"/>
      <c r="DY167" s="169"/>
      <c r="DZ167" s="169"/>
      <c r="EA167" s="169"/>
      <c r="EB167" s="169"/>
      <c r="EC167" s="169"/>
      <c r="ED167" s="169"/>
      <c r="EE167" s="169"/>
      <c r="EF167" s="169"/>
      <c r="EG167" s="169"/>
      <c r="EH167" s="169"/>
      <c r="EI167" s="169"/>
      <c r="EJ167" s="169"/>
      <c r="EK167" s="169"/>
      <c r="EL167" s="169"/>
      <c r="EM167" s="169"/>
      <c r="EN167" s="169"/>
      <c r="EO167" s="169"/>
      <c r="EP167" s="169"/>
      <c r="EQ167" s="169"/>
      <c r="ER167" s="169"/>
      <c r="ES167" s="169"/>
      <c r="ET167" s="169"/>
      <c r="EU167" s="169"/>
      <c r="EV167" s="169"/>
      <c r="EW167" s="169"/>
      <c r="EX167" s="169"/>
      <c r="EY167" s="169"/>
      <c r="EZ167" s="169"/>
      <c r="FA167" s="169"/>
      <c r="FB167" s="169"/>
      <c r="FC167" s="169"/>
      <c r="FD167" s="169"/>
      <c r="FE167" s="169"/>
      <c r="FF167" s="169"/>
      <c r="FG167" s="169"/>
      <c r="FH167" s="169"/>
      <c r="FI167" s="169"/>
      <c r="FJ167" s="169"/>
      <c r="FK167" s="169"/>
      <c r="FL167" s="169"/>
      <c r="FM167" s="169"/>
      <c r="FN167" s="169"/>
      <c r="FO167" s="169"/>
      <c r="FP167" s="169"/>
      <c r="FQ167" s="169"/>
      <c r="FR167" s="169"/>
      <c r="FS167" s="169"/>
      <c r="FT167" s="169"/>
      <c r="FU167" s="169"/>
      <c r="FV167" s="169"/>
      <c r="FW167" s="169"/>
      <c r="FX167" s="169"/>
      <c r="FY167" s="169"/>
      <c r="FZ167" s="169"/>
      <c r="GA167" s="169"/>
      <c r="GB167" s="169"/>
      <c r="GC167" s="169"/>
    </row>
    <row r="168" spans="1:185">
      <c r="A168" s="155" t="s">
        <v>146</v>
      </c>
      <c r="B168" s="156"/>
      <c r="BG168" s="138"/>
      <c r="BH168" s="138"/>
      <c r="BI168" s="138"/>
      <c r="BJ168" s="138"/>
      <c r="BK168" s="138"/>
      <c r="BL168" s="138"/>
      <c r="BM168" s="168" t="e">
        <f ca="1">IF(BM$3&gt;=T5_1erSIGN,OFFSET(BM167,0,-DEC_SIG),0)</f>
        <v>#VALUE!</v>
      </c>
      <c r="BN168" s="169" t="e">
        <f ca="1">IF(BN$3&gt;=T5_1erSIGN,OFFSET(BN167,0,-DEC_SIG),0)</f>
        <v>#VALUE!</v>
      </c>
      <c r="BO168" s="169"/>
      <c r="BP168" s="169"/>
      <c r="BQ168" s="169"/>
      <c r="BR168" s="169"/>
      <c r="BS168" s="169"/>
      <c r="BT168" s="169"/>
      <c r="BU168" s="169"/>
      <c r="BV168" s="169"/>
      <c r="BW168" s="169"/>
      <c r="BX168" s="169"/>
      <c r="BY168" s="169"/>
      <c r="BZ168" s="169"/>
      <c r="CA168" s="169"/>
      <c r="CB168" s="169"/>
      <c r="CC168" s="169"/>
      <c r="CD168" s="169"/>
      <c r="CE168" s="169"/>
      <c r="CF168" s="169"/>
      <c r="CG168" s="169"/>
      <c r="CH168" s="169"/>
      <c r="CI168" s="169"/>
      <c r="CJ168" s="169"/>
      <c r="CK168" s="169"/>
      <c r="CL168" s="169"/>
      <c r="CM168" s="169"/>
      <c r="CN168" s="169"/>
      <c r="CO168" s="169"/>
      <c r="CP168" s="169"/>
      <c r="CQ168" s="169"/>
      <c r="CR168" s="169"/>
      <c r="CS168" s="169"/>
      <c r="CT168" s="169"/>
      <c r="CU168" s="169"/>
      <c r="CV168" s="169"/>
      <c r="CW168" s="169"/>
      <c r="CX168" s="169"/>
      <c r="CY168" s="169"/>
      <c r="CZ168" s="169"/>
      <c r="DA168" s="169"/>
      <c r="DB168" s="169"/>
      <c r="DC168" s="169"/>
      <c r="DD168" s="169"/>
      <c r="DE168" s="169"/>
      <c r="DF168" s="169"/>
      <c r="DG168" s="169"/>
      <c r="DH168" s="169"/>
      <c r="DI168" s="169"/>
      <c r="DJ168" s="169"/>
      <c r="DK168" s="169"/>
      <c r="DL168" s="169"/>
      <c r="DM168" s="169"/>
      <c r="DN168" s="169"/>
      <c r="DO168" s="169"/>
      <c r="DP168" s="169"/>
      <c r="DQ168" s="169"/>
      <c r="DR168" s="169"/>
      <c r="DS168" s="169"/>
      <c r="DT168" s="169"/>
      <c r="DU168" s="169"/>
      <c r="DV168" s="169"/>
      <c r="DW168" s="169"/>
      <c r="DX168" s="169"/>
      <c r="DY168" s="169"/>
      <c r="DZ168" s="169"/>
      <c r="EA168" s="169"/>
      <c r="EB168" s="169"/>
      <c r="EC168" s="169"/>
      <c r="ED168" s="169"/>
      <c r="EE168" s="169"/>
      <c r="EF168" s="169"/>
      <c r="EG168" s="169"/>
      <c r="EH168" s="169"/>
      <c r="EI168" s="169"/>
      <c r="EJ168" s="169"/>
      <c r="EK168" s="169"/>
      <c r="EL168" s="169"/>
      <c r="EM168" s="169"/>
      <c r="EN168" s="169"/>
      <c r="EO168" s="169"/>
      <c r="EP168" s="169"/>
      <c r="EQ168" s="169"/>
      <c r="ER168" s="169"/>
      <c r="ES168" s="169"/>
      <c r="ET168" s="169"/>
      <c r="EU168" s="169"/>
      <c r="EV168" s="169"/>
      <c r="EW168" s="169"/>
      <c r="EX168" s="169"/>
      <c r="EY168" s="169"/>
      <c r="EZ168" s="169"/>
      <c r="FA168" s="169"/>
      <c r="FB168" s="169"/>
      <c r="FC168" s="169"/>
      <c r="FD168" s="169"/>
      <c r="FE168" s="169"/>
      <c r="FF168" s="169"/>
      <c r="FG168" s="169"/>
      <c r="FH168" s="169"/>
      <c r="FI168" s="169"/>
      <c r="FJ168" s="169"/>
      <c r="FK168" s="169"/>
      <c r="FL168" s="169"/>
      <c r="FM168" s="169"/>
      <c r="FN168" s="169"/>
      <c r="FO168" s="169"/>
      <c r="FP168" s="169"/>
      <c r="FQ168" s="169"/>
      <c r="FR168" s="169"/>
      <c r="FS168" s="169"/>
      <c r="FT168" s="169"/>
      <c r="FU168" s="169"/>
      <c r="FV168" s="169"/>
      <c r="FW168" s="169"/>
      <c r="FX168" s="169"/>
      <c r="FY168" s="169"/>
      <c r="FZ168" s="169"/>
      <c r="GA168" s="169"/>
      <c r="GB168" s="169"/>
      <c r="GC168" s="169"/>
    </row>
    <row r="169" spans="1:185">
      <c r="A169" s="155"/>
      <c r="B169" s="156"/>
      <c r="BG169" s="138"/>
      <c r="BH169" s="138"/>
      <c r="BI169" s="138"/>
      <c r="BJ169" s="138"/>
      <c r="BK169" s="138"/>
      <c r="BL169" s="138"/>
      <c r="BM169" s="168"/>
      <c r="BN169" s="169"/>
      <c r="BO169" s="169"/>
      <c r="BP169" s="169"/>
      <c r="BQ169" s="169"/>
      <c r="BR169" s="169"/>
      <c r="BS169" s="169"/>
      <c r="BT169" s="169"/>
      <c r="BU169" s="169"/>
      <c r="BV169" s="169"/>
      <c r="BW169" s="169"/>
      <c r="BX169" s="169"/>
      <c r="BY169" s="169"/>
      <c r="BZ169" s="169"/>
      <c r="CA169" s="169"/>
      <c r="CB169" s="169"/>
      <c r="CC169" s="169"/>
      <c r="CD169" s="169"/>
      <c r="CE169" s="169"/>
      <c r="CF169" s="169"/>
      <c r="CG169" s="169"/>
      <c r="CH169" s="169"/>
      <c r="CI169" s="169"/>
      <c r="CJ169" s="169"/>
      <c r="CK169" s="169"/>
      <c r="CL169" s="169"/>
      <c r="CM169" s="169"/>
      <c r="CN169" s="169"/>
      <c r="CO169" s="169"/>
      <c r="CP169" s="169"/>
      <c r="CQ169" s="169"/>
      <c r="CR169" s="169"/>
      <c r="CS169" s="169"/>
      <c r="CT169" s="169"/>
      <c r="CU169" s="169"/>
      <c r="CV169" s="169"/>
      <c r="CW169" s="169"/>
      <c r="CX169" s="169"/>
      <c r="CY169" s="169"/>
      <c r="CZ169" s="169"/>
      <c r="DA169" s="169"/>
      <c r="DB169" s="169"/>
      <c r="DC169" s="169"/>
      <c r="DD169" s="169"/>
      <c r="DE169" s="169"/>
      <c r="DF169" s="169"/>
      <c r="DG169" s="169"/>
      <c r="DH169" s="169"/>
      <c r="DI169" s="169"/>
      <c r="DJ169" s="169"/>
      <c r="DK169" s="169"/>
      <c r="DL169" s="169"/>
      <c r="DM169" s="169"/>
      <c r="DN169" s="169"/>
      <c r="DO169" s="169"/>
      <c r="DP169" s="169"/>
      <c r="DQ169" s="169"/>
      <c r="DR169" s="169"/>
      <c r="DS169" s="169"/>
      <c r="DT169" s="169"/>
      <c r="DU169" s="169"/>
      <c r="DV169" s="169"/>
      <c r="DW169" s="169"/>
      <c r="DX169" s="169"/>
      <c r="DY169" s="169"/>
      <c r="DZ169" s="169"/>
      <c r="EA169" s="169"/>
      <c r="EB169" s="169"/>
      <c r="EC169" s="169"/>
      <c r="ED169" s="169"/>
      <c r="EE169" s="169"/>
      <c r="EF169" s="169"/>
      <c r="EG169" s="169"/>
      <c r="EH169" s="169"/>
      <c r="EI169" s="169"/>
      <c r="EJ169" s="169"/>
      <c r="EK169" s="169"/>
      <c r="EL169" s="169"/>
      <c r="EM169" s="169"/>
      <c r="EN169" s="169"/>
      <c r="EO169" s="169"/>
      <c r="EP169" s="169"/>
      <c r="EQ169" s="169"/>
      <c r="ER169" s="169"/>
      <c r="ES169" s="169"/>
      <c r="ET169" s="169"/>
      <c r="EU169" s="169"/>
      <c r="EV169" s="169"/>
      <c r="EW169" s="169"/>
      <c r="EX169" s="169"/>
      <c r="EY169" s="169"/>
      <c r="EZ169" s="169"/>
      <c r="FA169" s="169"/>
      <c r="FB169" s="169"/>
      <c r="FC169" s="169"/>
      <c r="FD169" s="169"/>
      <c r="FE169" s="169"/>
      <c r="FF169" s="169"/>
      <c r="FG169" s="169"/>
      <c r="FH169" s="169"/>
      <c r="FI169" s="169"/>
      <c r="FJ169" s="169"/>
      <c r="FK169" s="169"/>
      <c r="FL169" s="169"/>
      <c r="FM169" s="169"/>
      <c r="FN169" s="169"/>
      <c r="FO169" s="169"/>
      <c r="FP169" s="169"/>
      <c r="FQ169" s="169"/>
      <c r="FR169" s="169"/>
      <c r="FS169" s="169"/>
      <c r="FT169" s="169"/>
      <c r="FU169" s="169"/>
      <c r="FV169" s="169"/>
      <c r="FW169" s="169"/>
      <c r="FX169" s="169"/>
      <c r="FY169" s="169"/>
      <c r="FZ169" s="169"/>
      <c r="GA169" s="169"/>
      <c r="GB169" s="169"/>
      <c r="GC169" s="169"/>
    </row>
    <row r="170" spans="1:185">
      <c r="A170" s="155" t="s">
        <v>147</v>
      </c>
      <c r="B170" s="156"/>
      <c r="BG170" s="138"/>
      <c r="BH170" s="138"/>
      <c r="BI170" s="138"/>
      <c r="BJ170" s="138"/>
      <c r="BK170" s="138"/>
      <c r="BL170" s="138"/>
      <c r="BM170" s="168"/>
      <c r="BN170" s="169"/>
      <c r="BO170" s="169"/>
      <c r="BP170" s="169"/>
      <c r="BQ170" s="169"/>
      <c r="BR170" s="169"/>
      <c r="BS170" s="169"/>
      <c r="BT170" s="169"/>
      <c r="BU170" s="169"/>
      <c r="BV170" s="169"/>
      <c r="BW170" s="169"/>
      <c r="BX170" s="169"/>
      <c r="BY170" s="169"/>
      <c r="BZ170" s="169"/>
      <c r="CA170" s="169"/>
      <c r="CB170" s="169"/>
      <c r="CC170" s="169"/>
      <c r="CD170" s="169"/>
      <c r="CE170" s="169"/>
      <c r="CF170" s="169"/>
      <c r="CG170" s="169"/>
      <c r="CH170" s="169"/>
      <c r="CI170" s="169"/>
      <c r="CJ170" s="169"/>
      <c r="CK170" s="169"/>
      <c r="CL170" s="169"/>
      <c r="CM170" s="169"/>
      <c r="CN170" s="169"/>
      <c r="CO170" s="169"/>
      <c r="CP170" s="169"/>
      <c r="CQ170" s="169"/>
      <c r="CR170" s="169"/>
      <c r="CS170" s="169"/>
      <c r="CT170" s="169"/>
      <c r="CU170" s="169"/>
      <c r="CV170" s="169"/>
      <c r="CW170" s="169"/>
      <c r="CX170" s="169"/>
      <c r="CY170" s="169"/>
      <c r="CZ170" s="169"/>
      <c r="DA170" s="169"/>
      <c r="DB170" s="169"/>
      <c r="DC170" s="169"/>
      <c r="DD170" s="169"/>
      <c r="DE170" s="169"/>
      <c r="DF170" s="169"/>
      <c r="DG170" s="169"/>
      <c r="DH170" s="169"/>
      <c r="DI170" s="169"/>
      <c r="DJ170" s="169"/>
      <c r="DK170" s="169"/>
      <c r="DL170" s="169"/>
      <c r="DM170" s="169"/>
      <c r="DN170" s="169"/>
      <c r="DO170" s="169"/>
      <c r="DP170" s="169"/>
      <c r="DQ170" s="169"/>
      <c r="DR170" s="169"/>
      <c r="DS170" s="169"/>
      <c r="DT170" s="169"/>
      <c r="DU170" s="169"/>
      <c r="DV170" s="169"/>
      <c r="DW170" s="169"/>
      <c r="DX170" s="169"/>
      <c r="DY170" s="169"/>
      <c r="DZ170" s="169"/>
      <c r="EA170" s="169"/>
      <c r="EB170" s="169"/>
      <c r="EC170" s="169"/>
      <c r="ED170" s="169"/>
      <c r="EE170" s="169"/>
      <c r="EF170" s="169"/>
      <c r="EG170" s="169"/>
      <c r="EH170" s="169"/>
      <c r="EI170" s="169"/>
      <c r="EJ170" s="169"/>
      <c r="EK170" s="169"/>
      <c r="EL170" s="169"/>
      <c r="EM170" s="169"/>
      <c r="EN170" s="169"/>
      <c r="EO170" s="169"/>
      <c r="EP170" s="169"/>
      <c r="EQ170" s="169"/>
      <c r="ER170" s="169"/>
      <c r="ES170" s="169"/>
      <c r="ET170" s="169"/>
      <c r="EU170" s="169"/>
      <c r="EV170" s="169"/>
      <c r="EW170" s="169"/>
      <c r="EX170" s="169"/>
      <c r="EY170" s="169"/>
      <c r="EZ170" s="169"/>
      <c r="FA170" s="169"/>
      <c r="FB170" s="169"/>
      <c r="FC170" s="169"/>
      <c r="FD170" s="169"/>
      <c r="FE170" s="169"/>
      <c r="FF170" s="169"/>
      <c r="FG170" s="169"/>
      <c r="FH170" s="169"/>
      <c r="FI170" s="169"/>
      <c r="FJ170" s="169"/>
      <c r="FK170" s="169"/>
      <c r="FL170" s="169"/>
      <c r="FM170" s="169"/>
      <c r="FN170" s="169"/>
      <c r="FO170" s="169"/>
      <c r="FP170" s="169"/>
      <c r="FQ170" s="169"/>
      <c r="FR170" s="169"/>
      <c r="FS170" s="169"/>
      <c r="FT170" s="169"/>
      <c r="FU170" s="169"/>
      <c r="FV170" s="169"/>
      <c r="FW170" s="169"/>
      <c r="FX170" s="169"/>
      <c r="FY170" s="169"/>
      <c r="FZ170" s="169"/>
      <c r="GA170" s="169"/>
      <c r="GB170" s="169"/>
      <c r="GC170" s="169"/>
    </row>
    <row r="171" spans="1:185">
      <c r="A171" s="155" t="s">
        <v>148</v>
      </c>
      <c r="B171" s="156"/>
      <c r="BG171" s="138"/>
      <c r="BH171" s="138"/>
      <c r="BI171" s="138"/>
      <c r="BJ171" s="138"/>
      <c r="BK171" s="138"/>
      <c r="BL171" s="138"/>
      <c r="BM171" s="168">
        <f>BM170+BL171</f>
        <v>0</v>
      </c>
      <c r="BN171" s="169">
        <f>BN170+BM171</f>
        <v>0</v>
      </c>
      <c r="BO171" s="169"/>
      <c r="BP171" s="169"/>
      <c r="BQ171" s="169"/>
      <c r="BR171" s="169"/>
      <c r="BS171" s="169"/>
      <c r="BT171" s="169"/>
      <c r="BU171" s="169"/>
      <c r="BV171" s="169"/>
      <c r="BW171" s="169"/>
      <c r="BX171" s="169"/>
      <c r="BY171" s="169"/>
      <c r="BZ171" s="169"/>
      <c r="CA171" s="169"/>
      <c r="CB171" s="169"/>
      <c r="CC171" s="169"/>
      <c r="CD171" s="169"/>
      <c r="CE171" s="169"/>
      <c r="CF171" s="169"/>
      <c r="CG171" s="169"/>
      <c r="CH171" s="169"/>
      <c r="CI171" s="169"/>
      <c r="CJ171" s="169"/>
      <c r="CK171" s="169"/>
      <c r="CL171" s="169"/>
      <c r="CM171" s="169"/>
      <c r="CN171" s="169"/>
      <c r="CO171" s="169"/>
      <c r="CP171" s="169"/>
      <c r="CQ171" s="169"/>
      <c r="CR171" s="169"/>
      <c r="CS171" s="169"/>
      <c r="CT171" s="169"/>
      <c r="CU171" s="169"/>
      <c r="CV171" s="169"/>
      <c r="CW171" s="169"/>
      <c r="CX171" s="169"/>
      <c r="CY171" s="169"/>
      <c r="CZ171" s="169"/>
      <c r="DA171" s="169"/>
      <c r="DB171" s="169"/>
      <c r="DC171" s="169"/>
      <c r="DD171" s="169"/>
      <c r="DE171" s="169"/>
      <c r="DF171" s="169"/>
      <c r="DG171" s="169"/>
      <c r="DH171" s="169"/>
      <c r="DI171" s="169"/>
      <c r="DJ171" s="169"/>
      <c r="DK171" s="169"/>
      <c r="DL171" s="169"/>
      <c r="DM171" s="169"/>
      <c r="DN171" s="169"/>
      <c r="DO171" s="169"/>
      <c r="DP171" s="169"/>
      <c r="DQ171" s="169"/>
      <c r="DR171" s="169"/>
      <c r="DS171" s="169"/>
      <c r="DT171" s="169"/>
      <c r="DU171" s="169"/>
      <c r="DV171" s="169"/>
      <c r="DW171" s="169"/>
      <c r="DX171" s="169"/>
      <c r="DY171" s="169"/>
      <c r="DZ171" s="169"/>
      <c r="EA171" s="169"/>
      <c r="EB171" s="169"/>
      <c r="EC171" s="169"/>
      <c r="ED171" s="169"/>
      <c r="EE171" s="169"/>
      <c r="EF171" s="169"/>
      <c r="EG171" s="169"/>
      <c r="EH171" s="169"/>
      <c r="EI171" s="169"/>
      <c r="EJ171" s="169"/>
      <c r="EK171" s="169"/>
      <c r="EL171" s="169"/>
      <c r="EM171" s="169"/>
      <c r="EN171" s="169"/>
      <c r="EO171" s="169"/>
      <c r="EP171" s="169"/>
      <c r="EQ171" s="169"/>
      <c r="ER171" s="169"/>
      <c r="ES171" s="169"/>
      <c r="ET171" s="169"/>
      <c r="EU171" s="169"/>
      <c r="EV171" s="169"/>
      <c r="EW171" s="169"/>
      <c r="EX171" s="169"/>
      <c r="EY171" s="169"/>
      <c r="EZ171" s="169"/>
      <c r="FA171" s="169"/>
      <c r="FB171" s="169"/>
      <c r="FC171" s="169"/>
      <c r="FD171" s="169"/>
      <c r="FE171" s="169"/>
      <c r="FF171" s="169"/>
      <c r="FG171" s="169"/>
      <c r="FH171" s="169"/>
      <c r="FI171" s="169"/>
      <c r="FJ171" s="169"/>
      <c r="FK171" s="169"/>
      <c r="FL171" s="169"/>
      <c r="FM171" s="169"/>
      <c r="FN171" s="169"/>
      <c r="FO171" s="169"/>
      <c r="FP171" s="169"/>
      <c r="FQ171" s="169"/>
      <c r="FR171" s="169"/>
      <c r="FS171" s="169"/>
      <c r="FT171" s="169"/>
      <c r="FU171" s="169"/>
      <c r="FV171" s="169"/>
      <c r="FW171" s="169"/>
      <c r="FX171" s="169"/>
      <c r="FY171" s="169"/>
      <c r="FZ171" s="169"/>
      <c r="GA171" s="169"/>
      <c r="GB171" s="169"/>
      <c r="GC171" s="169"/>
    </row>
    <row r="172" spans="1:185">
      <c r="A172" s="155" t="s">
        <v>149</v>
      </c>
      <c r="B172" s="156"/>
      <c r="BG172" s="138"/>
      <c r="BH172" s="138"/>
      <c r="BI172" s="138"/>
      <c r="BJ172" s="138"/>
      <c r="BK172" s="138"/>
      <c r="BL172" s="138"/>
      <c r="BM172" s="168" t="e">
        <f ca="1">IF(BM$3&gt;=T6_1erSIGN,OFFSET(BM171,0,-DEC_SIG),0)</f>
        <v>#VALUE!</v>
      </c>
      <c r="BN172" s="169" t="e">
        <f ca="1">IF(BN$3&gt;=T6_1erSIGN,OFFSET(BN171,0,-DEC_SIG),0)</f>
        <v>#VALUE!</v>
      </c>
      <c r="BO172" s="169"/>
      <c r="BP172" s="169"/>
      <c r="BQ172" s="169"/>
      <c r="BR172" s="169"/>
      <c r="BS172" s="169"/>
      <c r="BT172" s="169"/>
      <c r="BU172" s="169"/>
      <c r="BV172" s="169"/>
      <c r="BW172" s="169"/>
      <c r="BX172" s="169"/>
      <c r="BY172" s="169"/>
      <c r="BZ172" s="169"/>
      <c r="CA172" s="169"/>
      <c r="CB172" s="169"/>
      <c r="CC172" s="169"/>
      <c r="CD172" s="169"/>
      <c r="CE172" s="169"/>
      <c r="CF172" s="169"/>
      <c r="CG172" s="169"/>
      <c r="CH172" s="169"/>
      <c r="CI172" s="169"/>
      <c r="CJ172" s="169"/>
      <c r="CK172" s="169"/>
      <c r="CL172" s="169"/>
      <c r="CM172" s="169"/>
      <c r="CN172" s="169"/>
      <c r="CO172" s="169"/>
      <c r="CP172" s="169"/>
      <c r="CQ172" s="169"/>
      <c r="CR172" s="169"/>
      <c r="CS172" s="169"/>
      <c r="CT172" s="169"/>
      <c r="CU172" s="169"/>
      <c r="CV172" s="169"/>
      <c r="CW172" s="169"/>
      <c r="CX172" s="169"/>
      <c r="CY172" s="169"/>
      <c r="CZ172" s="169"/>
      <c r="DA172" s="169"/>
      <c r="DB172" s="169"/>
      <c r="DC172" s="169"/>
      <c r="DD172" s="169"/>
      <c r="DE172" s="169"/>
      <c r="DF172" s="169"/>
      <c r="DG172" s="169"/>
      <c r="DH172" s="169"/>
      <c r="DI172" s="169"/>
      <c r="DJ172" s="169"/>
      <c r="DK172" s="169"/>
      <c r="DL172" s="169"/>
      <c r="DM172" s="169"/>
      <c r="DN172" s="169"/>
      <c r="DO172" s="169"/>
      <c r="DP172" s="169"/>
      <c r="DQ172" s="169"/>
      <c r="DR172" s="169"/>
      <c r="DS172" s="169"/>
      <c r="DT172" s="169"/>
      <c r="DU172" s="169"/>
      <c r="DV172" s="169"/>
      <c r="DW172" s="169"/>
      <c r="DX172" s="169"/>
      <c r="DY172" s="169"/>
      <c r="DZ172" s="169"/>
      <c r="EA172" s="169"/>
      <c r="EB172" s="169"/>
      <c r="EC172" s="169"/>
      <c r="ED172" s="169"/>
      <c r="EE172" s="169"/>
      <c r="EF172" s="169"/>
      <c r="EG172" s="169"/>
      <c r="EH172" s="169"/>
      <c r="EI172" s="169"/>
      <c r="EJ172" s="169"/>
      <c r="EK172" s="169"/>
      <c r="EL172" s="169"/>
      <c r="EM172" s="169"/>
      <c r="EN172" s="169"/>
      <c r="EO172" s="169"/>
      <c r="EP172" s="169"/>
      <c r="EQ172" s="169"/>
      <c r="ER172" s="169"/>
      <c r="ES172" s="169"/>
      <c r="ET172" s="169"/>
      <c r="EU172" s="169"/>
      <c r="EV172" s="169"/>
      <c r="EW172" s="169"/>
      <c r="EX172" s="169"/>
      <c r="EY172" s="169"/>
      <c r="EZ172" s="169"/>
      <c r="FA172" s="169"/>
      <c r="FB172" s="169"/>
      <c r="FC172" s="169"/>
      <c r="FD172" s="169"/>
      <c r="FE172" s="169"/>
      <c r="FF172" s="169"/>
      <c r="FG172" s="169"/>
      <c r="FH172" s="169"/>
      <c r="FI172" s="169"/>
      <c r="FJ172" s="169"/>
      <c r="FK172" s="169"/>
      <c r="FL172" s="169"/>
      <c r="FM172" s="169"/>
      <c r="FN172" s="169"/>
      <c r="FO172" s="169"/>
      <c r="FP172" s="169"/>
      <c r="FQ172" s="169"/>
      <c r="FR172" s="169"/>
      <c r="FS172" s="169"/>
      <c r="FT172" s="169"/>
      <c r="FU172" s="169"/>
      <c r="FV172" s="169"/>
      <c r="FW172" s="169"/>
      <c r="FX172" s="169"/>
      <c r="FY172" s="169"/>
      <c r="FZ172" s="169"/>
      <c r="GA172" s="169"/>
      <c r="GB172" s="169"/>
      <c r="GC172" s="169"/>
    </row>
    <row r="173" spans="1:185" ht="13.8" thickBot="1">
      <c r="A173" s="175"/>
      <c r="B173" s="176"/>
      <c r="BG173" s="138"/>
      <c r="BH173" s="138"/>
      <c r="BI173" s="138"/>
      <c r="BJ173" s="138"/>
      <c r="BK173" s="138"/>
      <c r="BL173" s="138"/>
      <c r="BM173" s="188"/>
      <c r="BN173" s="189"/>
      <c r="BO173" s="189"/>
      <c r="BP173" s="189"/>
      <c r="BQ173" s="189"/>
      <c r="BR173" s="189"/>
      <c r="BS173" s="189"/>
      <c r="BT173" s="189"/>
      <c r="BU173" s="189"/>
      <c r="BV173" s="189"/>
      <c r="BW173" s="189"/>
      <c r="BX173" s="189"/>
      <c r="BY173" s="189"/>
      <c r="BZ173" s="189"/>
      <c r="CA173" s="189"/>
      <c r="CB173" s="189"/>
      <c r="CC173" s="189"/>
      <c r="CD173" s="189"/>
      <c r="CE173" s="189"/>
      <c r="CF173" s="189"/>
      <c r="CG173" s="189"/>
      <c r="CH173" s="189"/>
      <c r="CI173" s="189"/>
      <c r="CJ173" s="189"/>
      <c r="CK173" s="189"/>
      <c r="CL173" s="189"/>
      <c r="CM173" s="189"/>
      <c r="CN173" s="189"/>
      <c r="CO173" s="189"/>
      <c r="CP173" s="189"/>
      <c r="CQ173" s="189"/>
      <c r="CR173" s="189"/>
      <c r="CS173" s="189"/>
      <c r="CT173" s="189"/>
      <c r="CU173" s="189"/>
      <c r="CV173" s="189"/>
      <c r="CW173" s="189"/>
      <c r="CX173" s="189"/>
      <c r="CY173" s="189"/>
      <c r="CZ173" s="189"/>
      <c r="DA173" s="189"/>
      <c r="DB173" s="189"/>
      <c r="DC173" s="189"/>
      <c r="DD173" s="189"/>
      <c r="DE173" s="189"/>
      <c r="DF173" s="189"/>
      <c r="DG173" s="189"/>
      <c r="DH173" s="189"/>
      <c r="DI173" s="189"/>
      <c r="DJ173" s="189"/>
      <c r="DK173" s="189"/>
      <c r="DL173" s="189"/>
      <c r="DM173" s="189"/>
      <c r="DN173" s="189"/>
      <c r="DO173" s="189"/>
      <c r="DP173" s="189"/>
      <c r="DQ173" s="189"/>
      <c r="DR173" s="189"/>
      <c r="DS173" s="189"/>
      <c r="DT173" s="189"/>
      <c r="DU173" s="189"/>
      <c r="DV173" s="189"/>
      <c r="DW173" s="189"/>
      <c r="DX173" s="189"/>
      <c r="DY173" s="189"/>
      <c r="DZ173" s="189"/>
      <c r="EA173" s="189"/>
      <c r="EB173" s="189"/>
      <c r="EC173" s="189"/>
      <c r="ED173" s="189"/>
      <c r="EE173" s="189"/>
      <c r="EF173" s="189"/>
      <c r="EG173" s="189"/>
      <c r="EH173" s="189"/>
      <c r="EI173" s="189"/>
      <c r="EJ173" s="189"/>
      <c r="EK173" s="189"/>
      <c r="EL173" s="189"/>
      <c r="EM173" s="189"/>
      <c r="EN173" s="189"/>
      <c r="EO173" s="189"/>
      <c r="EP173" s="189"/>
      <c r="EQ173" s="189"/>
      <c r="ER173" s="189"/>
      <c r="ES173" s="189"/>
      <c r="ET173" s="189"/>
      <c r="EU173" s="189"/>
      <c r="EV173" s="189"/>
      <c r="EW173" s="189"/>
      <c r="EX173" s="189"/>
      <c r="EY173" s="189"/>
      <c r="EZ173" s="189"/>
      <c r="FA173" s="189"/>
      <c r="FB173" s="189"/>
      <c r="FC173" s="189"/>
      <c r="FD173" s="189"/>
      <c r="FE173" s="189"/>
      <c r="FF173" s="189"/>
      <c r="FG173" s="189"/>
      <c r="FH173" s="189"/>
      <c r="FI173" s="189"/>
      <c r="FJ173" s="189"/>
      <c r="FK173" s="189"/>
      <c r="FL173" s="189"/>
      <c r="FM173" s="189"/>
      <c r="FN173" s="189"/>
      <c r="FO173" s="189"/>
      <c r="FP173" s="189"/>
      <c r="FQ173" s="189"/>
      <c r="FR173" s="189"/>
      <c r="FS173" s="189"/>
      <c r="FT173" s="189"/>
      <c r="FU173" s="189"/>
      <c r="FV173" s="189"/>
      <c r="FW173" s="189"/>
      <c r="FX173" s="189"/>
      <c r="FY173" s="189"/>
      <c r="FZ173" s="189"/>
      <c r="GA173" s="189"/>
      <c r="GB173" s="189"/>
      <c r="GC173" s="189"/>
    </row>
    <row r="174" spans="1:185" ht="13.8" thickBot="1">
      <c r="A174" s="281" t="s">
        <v>150</v>
      </c>
      <c r="B174" s="360"/>
      <c r="BM174" s="168"/>
      <c r="BN174" s="361"/>
      <c r="BO174" s="361"/>
      <c r="BP174" s="361"/>
      <c r="BQ174" s="361"/>
      <c r="BR174" s="361"/>
      <c r="BS174" s="361"/>
      <c r="BT174" s="361"/>
      <c r="BU174" s="361"/>
      <c r="BV174" s="361"/>
      <c r="BW174" s="361"/>
      <c r="BX174" s="361"/>
      <c r="BY174" s="361"/>
      <c r="BZ174" s="361"/>
      <c r="CA174" s="361"/>
      <c r="CB174" s="361"/>
      <c r="CC174" s="361"/>
      <c r="CD174" s="361"/>
      <c r="CE174" s="361"/>
      <c r="CF174" s="361"/>
      <c r="CG174" s="361"/>
      <c r="CH174" s="361"/>
      <c r="CI174" s="361"/>
      <c r="CJ174" s="361"/>
      <c r="CK174" s="361"/>
      <c r="CL174" s="361"/>
      <c r="CM174" s="361"/>
      <c r="CN174" s="361"/>
      <c r="CO174" s="361"/>
      <c r="CP174" s="361"/>
      <c r="CQ174" s="361"/>
      <c r="CR174" s="361"/>
      <c r="CS174" s="361"/>
      <c r="CT174" s="361"/>
      <c r="CU174" s="361"/>
      <c r="CV174" s="361"/>
      <c r="CW174" s="361"/>
      <c r="CX174" s="361"/>
      <c r="CY174" s="361"/>
      <c r="CZ174" s="361"/>
      <c r="DA174" s="361"/>
      <c r="DB174" s="361"/>
      <c r="DC174" s="361"/>
      <c r="DD174" s="361"/>
      <c r="DE174" s="361"/>
      <c r="DF174" s="361"/>
      <c r="DG174" s="361"/>
      <c r="DH174" s="361"/>
      <c r="DI174" s="361"/>
      <c r="DJ174" s="361"/>
      <c r="DK174" s="361"/>
      <c r="DL174" s="361"/>
      <c r="DM174" s="361"/>
      <c r="DN174" s="361"/>
      <c r="DO174" s="361"/>
      <c r="DP174" s="361"/>
      <c r="DQ174" s="361"/>
      <c r="DR174" s="361"/>
      <c r="DS174" s="361"/>
      <c r="DT174" s="361"/>
      <c r="DU174" s="361"/>
      <c r="DV174" s="361"/>
      <c r="DW174" s="361"/>
      <c r="DX174" s="361"/>
      <c r="DY174" s="361"/>
      <c r="DZ174" s="361"/>
      <c r="EA174" s="361"/>
      <c r="EB174" s="361"/>
      <c r="EC174" s="361"/>
      <c r="ED174" s="361"/>
      <c r="EE174" s="361"/>
      <c r="EF174" s="361"/>
      <c r="EG174" s="361"/>
      <c r="EH174" s="361"/>
      <c r="EI174" s="361"/>
      <c r="EJ174" s="361"/>
      <c r="EK174" s="361"/>
      <c r="EL174" s="361"/>
      <c r="EM174" s="361"/>
      <c r="EN174" s="361"/>
      <c r="EO174" s="361"/>
      <c r="EP174" s="361"/>
      <c r="EQ174" s="361"/>
      <c r="ER174" s="361"/>
      <c r="ES174" s="361"/>
      <c r="ET174" s="361"/>
      <c r="EU174" s="361"/>
      <c r="EV174" s="361"/>
      <c r="EW174" s="361"/>
      <c r="EX174" s="361"/>
      <c r="EY174" s="361"/>
      <c r="EZ174" s="361"/>
      <c r="FA174" s="361"/>
      <c r="FB174" s="361"/>
      <c r="FC174" s="361"/>
      <c r="FD174" s="361"/>
      <c r="FE174" s="361"/>
      <c r="FF174" s="361"/>
      <c r="FG174" s="361"/>
      <c r="FH174" s="361"/>
      <c r="FI174" s="361"/>
      <c r="FJ174" s="361"/>
      <c r="FK174" s="361"/>
      <c r="FL174" s="361"/>
      <c r="FM174" s="361"/>
      <c r="FN174" s="361"/>
      <c r="FO174" s="361"/>
      <c r="FP174" s="361"/>
      <c r="FQ174" s="361"/>
      <c r="FR174" s="361"/>
      <c r="FS174" s="361"/>
      <c r="FT174" s="361"/>
      <c r="FU174" s="361"/>
      <c r="FV174" s="361"/>
      <c r="FW174" s="361"/>
      <c r="FX174" s="361"/>
      <c r="FY174" s="361"/>
      <c r="FZ174" s="361"/>
      <c r="GA174" s="361"/>
      <c r="GB174" s="361"/>
      <c r="GC174" s="361"/>
    </row>
    <row r="175" spans="1:185" ht="13.8" thickBot="1">
      <c r="A175" s="155" t="s">
        <v>151</v>
      </c>
      <c r="B175" s="156"/>
      <c r="BL175" s="362" t="str">
        <f t="shared" ref="BL175:BL180" si="159">A175</f>
        <v>DATES</v>
      </c>
      <c r="BM175" s="363" t="e">
        <f>DATES</f>
        <v>#VALUE!</v>
      </c>
      <c r="BN175" s="364" t="e">
        <f>DATES</f>
        <v>#VALUE!</v>
      </c>
      <c r="BO175" s="364"/>
      <c r="BP175" s="364"/>
      <c r="BQ175" s="364"/>
      <c r="BR175" s="364"/>
      <c r="BS175" s="364"/>
      <c r="BT175" s="364"/>
      <c r="BU175" s="364"/>
      <c r="BV175" s="364"/>
      <c r="BW175" s="364"/>
      <c r="BX175" s="364"/>
      <c r="BY175" s="364"/>
      <c r="BZ175" s="364"/>
      <c r="CA175" s="364"/>
      <c r="CB175" s="364"/>
      <c r="CC175" s="364"/>
      <c r="CD175" s="364"/>
      <c r="CE175" s="364"/>
      <c r="CF175" s="364"/>
      <c r="CG175" s="364"/>
      <c r="CH175" s="364"/>
      <c r="CI175" s="364"/>
      <c r="CJ175" s="364"/>
      <c r="CK175" s="364"/>
      <c r="CL175" s="364"/>
      <c r="CM175" s="364"/>
      <c r="CN175" s="364"/>
      <c r="CO175" s="364"/>
      <c r="CP175" s="364"/>
      <c r="CQ175" s="364"/>
      <c r="CR175" s="364"/>
      <c r="CS175" s="364"/>
      <c r="CT175" s="364"/>
      <c r="CU175" s="364"/>
      <c r="CV175" s="364"/>
      <c r="CW175" s="364"/>
      <c r="CX175" s="364"/>
      <c r="CY175" s="364"/>
      <c r="CZ175" s="364"/>
      <c r="DA175" s="364"/>
      <c r="DB175" s="364"/>
      <c r="DC175" s="364"/>
      <c r="DD175" s="364"/>
      <c r="DE175" s="364"/>
      <c r="DF175" s="364"/>
      <c r="DG175" s="364"/>
      <c r="DH175" s="364"/>
      <c r="DI175" s="364"/>
      <c r="DJ175" s="364"/>
      <c r="DK175" s="364"/>
      <c r="DL175" s="364"/>
      <c r="DM175" s="364"/>
      <c r="DN175" s="364"/>
      <c r="DO175" s="364"/>
      <c r="DP175" s="364"/>
      <c r="DQ175" s="364"/>
      <c r="DR175" s="364"/>
      <c r="DS175" s="364"/>
      <c r="DT175" s="364"/>
      <c r="DU175" s="364"/>
      <c r="DV175" s="364"/>
      <c r="DW175" s="364"/>
      <c r="DX175" s="364"/>
      <c r="DY175" s="364"/>
      <c r="DZ175" s="364"/>
      <c r="EA175" s="364"/>
      <c r="EB175" s="364"/>
      <c r="EC175" s="364"/>
      <c r="ED175" s="364"/>
      <c r="EE175" s="364"/>
      <c r="EF175" s="364"/>
      <c r="EG175" s="364"/>
      <c r="EH175" s="364"/>
      <c r="EI175" s="364"/>
      <c r="EJ175" s="364"/>
      <c r="EK175" s="364"/>
      <c r="EL175" s="364"/>
      <c r="EM175" s="364"/>
      <c r="EN175" s="364"/>
      <c r="EO175" s="364"/>
      <c r="EP175" s="364"/>
      <c r="EQ175" s="364"/>
      <c r="ER175" s="364"/>
      <c r="ES175" s="364"/>
      <c r="ET175" s="364"/>
      <c r="EU175" s="364"/>
      <c r="EV175" s="364"/>
      <c r="EW175" s="364"/>
      <c r="EX175" s="364"/>
      <c r="EY175" s="364"/>
      <c r="EZ175" s="364"/>
      <c r="FA175" s="364"/>
      <c r="FB175" s="364"/>
      <c r="FC175" s="364"/>
      <c r="FD175" s="364"/>
      <c r="FE175" s="364"/>
      <c r="FF175" s="364"/>
      <c r="FG175" s="364"/>
      <c r="FH175" s="364"/>
      <c r="FI175" s="364"/>
      <c r="FJ175" s="364"/>
      <c r="FK175" s="364"/>
      <c r="FL175" s="364"/>
      <c r="FM175" s="364"/>
      <c r="FN175" s="364"/>
      <c r="FO175" s="364"/>
      <c r="FP175" s="364"/>
      <c r="FQ175" s="364"/>
      <c r="FR175" s="364"/>
      <c r="FS175" s="364"/>
      <c r="FT175" s="364"/>
      <c r="FU175" s="364"/>
      <c r="FV175" s="364"/>
      <c r="FW175" s="364"/>
      <c r="FX175" s="364"/>
      <c r="FY175" s="364"/>
      <c r="FZ175" s="364"/>
      <c r="GA175" s="364"/>
      <c r="GB175" s="364"/>
      <c r="GC175" s="364"/>
    </row>
    <row r="176" spans="1:185" ht="13.8" thickBot="1">
      <c r="A176" s="155" t="s">
        <v>221</v>
      </c>
      <c r="B176" s="156"/>
      <c r="BL176" s="362" t="str">
        <f t="shared" si="159"/>
        <v>FONDS PROPRES</v>
      </c>
      <c r="BM176" s="330" t="e">
        <f>AP</f>
        <v>#VALUE!</v>
      </c>
      <c r="BN176" s="267" t="e">
        <f>AP</f>
        <v>#VALUE!</v>
      </c>
      <c r="BO176" s="267"/>
      <c r="BP176" s="267"/>
      <c r="BQ176" s="267"/>
      <c r="BR176" s="267"/>
      <c r="BS176" s="267"/>
      <c r="BT176" s="267"/>
      <c r="BU176" s="267"/>
      <c r="BV176" s="267"/>
      <c r="BW176" s="267"/>
      <c r="BX176" s="267"/>
      <c r="BY176" s="267"/>
      <c r="BZ176" s="267"/>
      <c r="CA176" s="267"/>
      <c r="CB176" s="267"/>
      <c r="CC176" s="267"/>
      <c r="CD176" s="267"/>
      <c r="CE176" s="267"/>
      <c r="CF176" s="267"/>
      <c r="CG176" s="267"/>
      <c r="CH176" s="267"/>
      <c r="CI176" s="267"/>
      <c r="CJ176" s="267"/>
      <c r="CK176" s="267"/>
      <c r="CL176" s="267"/>
      <c r="CM176" s="267"/>
      <c r="CN176" s="267"/>
      <c r="CO176" s="267"/>
      <c r="CP176" s="267"/>
      <c r="CQ176" s="267"/>
      <c r="CR176" s="267"/>
      <c r="CS176" s="267"/>
      <c r="CT176" s="267"/>
      <c r="CU176" s="267"/>
      <c r="CV176" s="267"/>
      <c r="CW176" s="267"/>
      <c r="CX176" s="267"/>
      <c r="CY176" s="267"/>
      <c r="CZ176" s="267"/>
      <c r="DA176" s="267"/>
      <c r="DB176" s="267"/>
      <c r="DC176" s="267"/>
      <c r="DD176" s="267"/>
      <c r="DE176" s="267"/>
      <c r="DF176" s="267"/>
      <c r="DG176" s="267"/>
      <c r="DH176" s="267"/>
      <c r="DI176" s="267"/>
      <c r="DJ176" s="267"/>
      <c r="DK176" s="267"/>
      <c r="DL176" s="267"/>
      <c r="DM176" s="267"/>
      <c r="DN176" s="267"/>
      <c r="DO176" s="267"/>
      <c r="DP176" s="267"/>
      <c r="DQ176" s="267"/>
      <c r="DR176" s="267"/>
      <c r="DS176" s="267"/>
      <c r="DT176" s="267"/>
      <c r="DU176" s="267"/>
      <c r="DV176" s="267"/>
      <c r="DW176" s="267"/>
      <c r="DX176" s="267"/>
      <c r="DY176" s="267"/>
      <c r="DZ176" s="267"/>
      <c r="EA176" s="267"/>
      <c r="EB176" s="267"/>
      <c r="EC176" s="267"/>
      <c r="ED176" s="267"/>
      <c r="EE176" s="267"/>
      <c r="EF176" s="267"/>
      <c r="EG176" s="267"/>
      <c r="EH176" s="267"/>
      <c r="EI176" s="267"/>
      <c r="EJ176" s="267"/>
      <c r="EK176" s="267"/>
      <c r="EL176" s="267"/>
      <c r="EM176" s="267"/>
      <c r="EN176" s="267"/>
      <c r="EO176" s="267"/>
      <c r="EP176" s="267"/>
      <c r="EQ176" s="267"/>
      <c r="ER176" s="267"/>
      <c r="ES176" s="267"/>
      <c r="ET176" s="267"/>
      <c r="EU176" s="267"/>
      <c r="EV176" s="267"/>
      <c r="EW176" s="267"/>
      <c r="EX176" s="267"/>
      <c r="EY176" s="267"/>
      <c r="EZ176" s="267"/>
      <c r="FA176" s="267"/>
      <c r="FB176" s="267"/>
      <c r="FC176" s="267"/>
      <c r="FD176" s="267"/>
      <c r="FE176" s="267"/>
      <c r="FF176" s="267"/>
      <c r="FG176" s="267"/>
      <c r="FH176" s="267"/>
      <c r="FI176" s="267"/>
      <c r="FJ176" s="267"/>
      <c r="FK176" s="267"/>
      <c r="FL176" s="267"/>
      <c r="FM176" s="267"/>
      <c r="FN176" s="267"/>
      <c r="FO176" s="267"/>
      <c r="FP176" s="267"/>
      <c r="FQ176" s="267"/>
      <c r="FR176" s="267"/>
      <c r="FS176" s="267"/>
      <c r="FT176" s="267"/>
      <c r="FU176" s="267"/>
      <c r="FV176" s="267"/>
      <c r="FW176" s="267"/>
      <c r="FX176" s="267"/>
      <c r="FY176" s="267"/>
      <c r="FZ176" s="267"/>
      <c r="GA176" s="267"/>
      <c r="GB176" s="267"/>
      <c r="GC176" s="267"/>
    </row>
    <row r="177" spans="1:185" ht="13.8" thickBot="1">
      <c r="A177" s="155" t="s">
        <v>152</v>
      </c>
      <c r="B177" s="156"/>
      <c r="BL177" s="362" t="str">
        <f t="shared" si="159"/>
        <v>TRESORERIE</v>
      </c>
      <c r="BM177" s="330" t="e">
        <f ca="1">TRESO_APRES</f>
        <v>#VALUE!</v>
      </c>
      <c r="BN177" s="267" t="e">
        <f ca="1">TRESO_APRES</f>
        <v>#VALUE!</v>
      </c>
      <c r="BO177" s="267"/>
      <c r="BP177" s="267"/>
      <c r="BQ177" s="267"/>
      <c r="BR177" s="267"/>
      <c r="BS177" s="267"/>
      <c r="BT177" s="267"/>
      <c r="BU177" s="267"/>
      <c r="BV177" s="267"/>
      <c r="BW177" s="267"/>
      <c r="BX177" s="267"/>
      <c r="BY177" s="267"/>
      <c r="BZ177" s="267"/>
      <c r="CA177" s="267"/>
      <c r="CB177" s="267"/>
      <c r="CC177" s="267"/>
      <c r="CD177" s="267"/>
      <c r="CE177" s="267"/>
      <c r="CF177" s="267"/>
      <c r="CG177" s="267"/>
      <c r="CH177" s="267"/>
      <c r="CI177" s="267"/>
      <c r="CJ177" s="267"/>
      <c r="CK177" s="267"/>
      <c r="CL177" s="267"/>
      <c r="CM177" s="267"/>
      <c r="CN177" s="267"/>
      <c r="CO177" s="267"/>
      <c r="CP177" s="267"/>
      <c r="CQ177" s="267"/>
      <c r="CR177" s="267"/>
      <c r="CS177" s="267"/>
      <c r="CT177" s="267"/>
      <c r="CU177" s="267"/>
      <c r="CV177" s="267"/>
      <c r="CW177" s="267"/>
      <c r="CX177" s="267"/>
      <c r="CY177" s="267"/>
      <c r="CZ177" s="267"/>
      <c r="DA177" s="267"/>
      <c r="DB177" s="267"/>
      <c r="DC177" s="267"/>
      <c r="DD177" s="267"/>
      <c r="DE177" s="267"/>
      <c r="DF177" s="267"/>
      <c r="DG177" s="267"/>
      <c r="DH177" s="267"/>
      <c r="DI177" s="267"/>
      <c r="DJ177" s="267"/>
      <c r="DK177" s="267"/>
      <c r="DL177" s="267"/>
      <c r="DM177" s="267"/>
      <c r="DN177" s="267"/>
      <c r="DO177" s="267"/>
      <c r="DP177" s="267"/>
      <c r="DQ177" s="267"/>
      <c r="DR177" s="267"/>
      <c r="DS177" s="267"/>
      <c r="DT177" s="267"/>
      <c r="DU177" s="267"/>
      <c r="DV177" s="267"/>
      <c r="DW177" s="267"/>
      <c r="DX177" s="267"/>
      <c r="DY177" s="267"/>
      <c r="DZ177" s="267"/>
      <c r="EA177" s="267"/>
      <c r="EB177" s="267"/>
      <c r="EC177" s="267"/>
      <c r="ED177" s="267"/>
      <c r="EE177" s="267"/>
      <c r="EF177" s="267"/>
      <c r="EG177" s="267"/>
      <c r="EH177" s="267"/>
      <c r="EI177" s="267"/>
      <c r="EJ177" s="267"/>
      <c r="EK177" s="267"/>
      <c r="EL177" s="267"/>
      <c r="EM177" s="267"/>
      <c r="EN177" s="267"/>
      <c r="EO177" s="267"/>
      <c r="EP177" s="267"/>
      <c r="EQ177" s="267"/>
      <c r="ER177" s="267"/>
      <c r="ES177" s="267"/>
      <c r="ET177" s="267"/>
      <c r="EU177" s="267"/>
      <c r="EV177" s="267"/>
      <c r="EW177" s="267"/>
      <c r="EX177" s="267"/>
      <c r="EY177" s="267"/>
      <c r="EZ177" s="267"/>
      <c r="FA177" s="267"/>
      <c r="FB177" s="267"/>
      <c r="FC177" s="267"/>
      <c r="FD177" s="267"/>
      <c r="FE177" s="267"/>
      <c r="FF177" s="267"/>
      <c r="FG177" s="267"/>
      <c r="FH177" s="267"/>
      <c r="FI177" s="267"/>
      <c r="FJ177" s="267"/>
      <c r="FK177" s="267"/>
      <c r="FL177" s="267"/>
      <c r="FM177" s="267"/>
      <c r="FN177" s="267"/>
      <c r="FO177" s="267"/>
      <c r="FP177" s="267"/>
      <c r="FQ177" s="267"/>
      <c r="FR177" s="267"/>
      <c r="FS177" s="267"/>
      <c r="FT177" s="267"/>
      <c r="FU177" s="267"/>
      <c r="FV177" s="267"/>
      <c r="FW177" s="267"/>
      <c r="FX177" s="267"/>
      <c r="FY177" s="267"/>
      <c r="FZ177" s="267"/>
      <c r="GA177" s="267"/>
      <c r="GB177" s="267"/>
      <c r="GC177" s="267"/>
    </row>
    <row r="178" spans="1:185" ht="13.8" thickBot="1">
      <c r="A178" s="131" t="s">
        <v>153</v>
      </c>
      <c r="B178" s="156"/>
      <c r="BL178" s="362" t="str">
        <f t="shared" si="159"/>
        <v>RESERVATIONS</v>
      </c>
      <c r="BM178" s="330">
        <f>T1_RESERVATIONS+T2_RESERVATIONS+T3_RESERVATIONS+T4_RESERVATIONS+T5_RESERVATIONS+T6_RESERVATIONS</f>
        <v>0</v>
      </c>
      <c r="BN178" s="267">
        <f>T1_RESERVATIONS+T2_RESERVATIONS+T3_RESERVATIONS+T4_RESERVATIONS+T5_RESERVATIONS+T6_RESERVATIONS</f>
        <v>0</v>
      </c>
      <c r="BO178" s="267"/>
      <c r="BP178" s="267"/>
      <c r="BQ178" s="267"/>
      <c r="BR178" s="267"/>
      <c r="BS178" s="267"/>
      <c r="BT178" s="267"/>
      <c r="BU178" s="267"/>
      <c r="BV178" s="267"/>
      <c r="BW178" s="267"/>
      <c r="BX178" s="267"/>
      <c r="BY178" s="267"/>
      <c r="BZ178" s="267"/>
      <c r="CA178" s="267"/>
      <c r="CB178" s="267"/>
      <c r="CC178" s="267"/>
      <c r="CD178" s="267"/>
      <c r="CE178" s="267"/>
      <c r="CF178" s="267"/>
      <c r="CG178" s="267"/>
      <c r="CH178" s="267"/>
      <c r="CI178" s="267"/>
      <c r="CJ178" s="267"/>
      <c r="CK178" s="267"/>
      <c r="CL178" s="267"/>
      <c r="CM178" s="267"/>
      <c r="CN178" s="267"/>
      <c r="CO178" s="267"/>
      <c r="CP178" s="267"/>
      <c r="CQ178" s="267"/>
      <c r="CR178" s="267"/>
      <c r="CS178" s="267"/>
      <c r="CT178" s="267"/>
      <c r="CU178" s="267"/>
      <c r="CV178" s="267"/>
      <c r="CW178" s="267"/>
      <c r="CX178" s="267"/>
      <c r="CY178" s="267"/>
      <c r="CZ178" s="267"/>
      <c r="DA178" s="267"/>
      <c r="DB178" s="267"/>
      <c r="DC178" s="267"/>
      <c r="DD178" s="267"/>
      <c r="DE178" s="267"/>
      <c r="DF178" s="267"/>
      <c r="DG178" s="267"/>
      <c r="DH178" s="267"/>
      <c r="DI178" s="267"/>
      <c r="DJ178" s="267"/>
      <c r="DK178" s="267"/>
      <c r="DL178" s="267"/>
      <c r="DM178" s="267"/>
      <c r="DN178" s="267"/>
      <c r="DO178" s="267"/>
      <c r="DP178" s="267"/>
      <c r="DQ178" s="267"/>
      <c r="DR178" s="267"/>
      <c r="DS178" s="267"/>
      <c r="DT178" s="267"/>
      <c r="DU178" s="267"/>
      <c r="DV178" s="267"/>
      <c r="DW178" s="267"/>
      <c r="DX178" s="267"/>
      <c r="DY178" s="267"/>
      <c r="DZ178" s="267"/>
      <c r="EA178" s="267"/>
      <c r="EB178" s="267"/>
      <c r="EC178" s="267"/>
      <c r="ED178" s="267"/>
      <c r="EE178" s="267"/>
      <c r="EF178" s="267"/>
      <c r="EG178" s="267"/>
      <c r="EH178" s="267"/>
      <c r="EI178" s="267"/>
      <c r="EJ178" s="267"/>
      <c r="EK178" s="267"/>
      <c r="EL178" s="267"/>
      <c r="EM178" s="267"/>
      <c r="EN178" s="267"/>
      <c r="EO178" s="267"/>
      <c r="EP178" s="267"/>
      <c r="EQ178" s="267"/>
      <c r="ER178" s="267"/>
      <c r="ES178" s="267"/>
      <c r="ET178" s="267"/>
      <c r="EU178" s="267"/>
      <c r="EV178" s="267"/>
      <c r="EW178" s="267"/>
      <c r="EX178" s="267"/>
      <c r="EY178" s="267"/>
      <c r="EZ178" s="267"/>
      <c r="FA178" s="267"/>
      <c r="FB178" s="267"/>
      <c r="FC178" s="267"/>
      <c r="FD178" s="267"/>
      <c r="FE178" s="267"/>
      <c r="FF178" s="267"/>
      <c r="FG178" s="267"/>
      <c r="FH178" s="267"/>
      <c r="FI178" s="267"/>
      <c r="FJ178" s="267"/>
      <c r="FK178" s="267"/>
      <c r="FL178" s="267"/>
      <c r="FM178" s="267"/>
      <c r="FN178" s="267"/>
      <c r="FO178" s="267"/>
      <c r="FP178" s="267"/>
      <c r="FQ178" s="267"/>
      <c r="FR178" s="267"/>
      <c r="FS178" s="267"/>
      <c r="FT178" s="267"/>
      <c r="FU178" s="267"/>
      <c r="FV178" s="267"/>
      <c r="FW178" s="267"/>
      <c r="FX178" s="267"/>
      <c r="FY178" s="267"/>
      <c r="FZ178" s="267"/>
      <c r="GA178" s="267"/>
      <c r="GB178" s="267"/>
      <c r="GC178" s="267"/>
    </row>
    <row r="179" spans="1:185" ht="13.8" thickBot="1">
      <c r="A179" s="131" t="s">
        <v>154</v>
      </c>
      <c r="BL179" s="362" t="str">
        <f t="shared" si="159"/>
        <v>SIGNATURES</v>
      </c>
      <c r="BM179" s="330" t="e">
        <f ca="1">T1_SIGNATURES+T2_SIGNATURES+T3_SIGNATURES+T4_SIGNATURES+T5_SIGNATURES+T6_SIGNATURES</f>
        <v>#VALUE!</v>
      </c>
      <c r="BN179" s="267" t="e">
        <f ca="1">T1_SIGNATURES+T2_SIGNATURES+T3_SIGNATURES+T4_SIGNATURES+T5_SIGNATURES+T6_SIGNATURES</f>
        <v>#VALUE!</v>
      </c>
      <c r="BO179" s="267"/>
      <c r="BP179" s="267"/>
      <c r="BQ179" s="267"/>
      <c r="BR179" s="267"/>
      <c r="BS179" s="267"/>
      <c r="BT179" s="267"/>
      <c r="BU179" s="267"/>
      <c r="BV179" s="267"/>
      <c r="BW179" s="267"/>
      <c r="BX179" s="267"/>
      <c r="BY179" s="267"/>
      <c r="BZ179" s="267"/>
      <c r="CA179" s="267"/>
      <c r="CB179" s="267"/>
      <c r="CC179" s="267"/>
      <c r="CD179" s="267"/>
      <c r="CE179" s="267"/>
      <c r="CF179" s="267"/>
      <c r="CG179" s="267"/>
      <c r="CH179" s="267"/>
      <c r="CI179" s="267"/>
      <c r="CJ179" s="267"/>
      <c r="CK179" s="267"/>
      <c r="CL179" s="267"/>
      <c r="CM179" s="267"/>
      <c r="CN179" s="267"/>
      <c r="CO179" s="267"/>
      <c r="CP179" s="267"/>
      <c r="CQ179" s="267"/>
      <c r="CR179" s="267"/>
      <c r="CS179" s="267"/>
      <c r="CT179" s="267"/>
      <c r="CU179" s="267"/>
      <c r="CV179" s="267"/>
      <c r="CW179" s="267"/>
      <c r="CX179" s="267"/>
      <c r="CY179" s="267"/>
      <c r="CZ179" s="267"/>
      <c r="DA179" s="267"/>
      <c r="DB179" s="267"/>
      <c r="DC179" s="267"/>
      <c r="DD179" s="267"/>
      <c r="DE179" s="267"/>
      <c r="DF179" s="267"/>
      <c r="DG179" s="267"/>
      <c r="DH179" s="267"/>
      <c r="DI179" s="267"/>
      <c r="DJ179" s="267"/>
      <c r="DK179" s="267"/>
      <c r="DL179" s="267"/>
      <c r="DM179" s="267"/>
      <c r="DN179" s="267"/>
      <c r="DO179" s="267"/>
      <c r="DP179" s="267"/>
      <c r="DQ179" s="267"/>
      <c r="DR179" s="267"/>
      <c r="DS179" s="267"/>
      <c r="DT179" s="267"/>
      <c r="DU179" s="267"/>
      <c r="DV179" s="267"/>
      <c r="DW179" s="267"/>
      <c r="DX179" s="267"/>
      <c r="DY179" s="267"/>
      <c r="DZ179" s="267"/>
      <c r="EA179" s="267"/>
      <c r="EB179" s="267"/>
      <c r="EC179" s="267"/>
      <c r="ED179" s="267"/>
      <c r="EE179" s="267"/>
      <c r="EF179" s="267"/>
      <c r="EG179" s="267"/>
      <c r="EH179" s="267"/>
      <c r="EI179" s="267"/>
      <c r="EJ179" s="267"/>
      <c r="EK179" s="267"/>
      <c r="EL179" s="267"/>
      <c r="EM179" s="267"/>
      <c r="EN179" s="267"/>
      <c r="EO179" s="267"/>
      <c r="EP179" s="267"/>
      <c r="EQ179" s="267"/>
      <c r="ER179" s="267"/>
      <c r="ES179" s="267"/>
      <c r="ET179" s="267"/>
      <c r="EU179" s="267"/>
      <c r="EV179" s="267"/>
      <c r="EW179" s="267"/>
      <c r="EX179" s="267"/>
      <c r="EY179" s="267"/>
      <c r="EZ179" s="267"/>
      <c r="FA179" s="267"/>
      <c r="FB179" s="267"/>
      <c r="FC179" s="267"/>
      <c r="FD179" s="267"/>
      <c r="FE179" s="267"/>
      <c r="FF179" s="267"/>
      <c r="FG179" s="267"/>
      <c r="FH179" s="267"/>
      <c r="FI179" s="267"/>
      <c r="FJ179" s="267"/>
      <c r="FK179" s="267"/>
      <c r="FL179" s="267"/>
      <c r="FM179" s="267"/>
      <c r="FN179" s="267"/>
      <c r="FO179" s="267"/>
      <c r="FP179" s="267"/>
      <c r="FQ179" s="267"/>
      <c r="FR179" s="267"/>
      <c r="FS179" s="267"/>
      <c r="FT179" s="267"/>
      <c r="FU179" s="267"/>
      <c r="FV179" s="267"/>
      <c r="FW179" s="267"/>
      <c r="FX179" s="267"/>
      <c r="FY179" s="267"/>
      <c r="FZ179" s="267"/>
      <c r="GA179" s="267"/>
      <c r="GB179" s="267"/>
      <c r="GC179" s="267"/>
    </row>
    <row r="180" spans="1:185" ht="13.8" thickBot="1">
      <c r="A180" s="131" t="s">
        <v>155</v>
      </c>
      <c r="BL180" s="362" t="str">
        <f t="shared" si="159"/>
        <v>STOCKS</v>
      </c>
      <c r="BM180" s="330" t="e">
        <f>IF(IF(BM$3&gt;=T1_LI,T1_NBLOTS-T1_SIGNATURES,0)+IF(BM$3&gt;=T2_LI,T2_NBLOTS-T2_SIGNATURES,0)+IF(BM$3&gt;=T3_LI,T3_NBLOTS-T3_SIGNATURES,0)+IF(BM$3&gt;=T4_LI,T4_NBLOTS-T4_SIGNATURES,0)+IF(BM$3&gt;=T5_LI,T5_NBLOTS-T5_SIGNATURES,0)+IF(BM$3&gt;=T6_LI,T6_NBLOTS-T6_SIGNATURES,0)&lt;&gt;0,IF(BM$3&gt;=T1_LI,T1_NBLOTS-T1_SIGNATURES,0)+IF(BM$3&gt;=T2_LI,T2_NBLOTS-T2_SIGNATURES,0)+IF(BM$3&gt;=T3_LI,T3_NBLOTS-T3_SIGNATURES,0)+IF(BM$3&gt;=T4_LI,T4_NBLOTS-T4_SIGNATURES,0)+IF(BM$3&gt;=T5_LI,T5_NBLOTS-T5_SIGNATURES,0)+IF(BM$3&gt;=T6_LI,T6_NBLOTS-T6_SIGNATURES,0),NA())</f>
        <v>#VALUE!</v>
      </c>
      <c r="BN180" s="267" t="e">
        <f>IF(IF(BN$3&gt;=T1_LI,T1_NBLOTS-T1_SIGNATURES,0)+IF(BN$3&gt;=T2_LI,T2_NBLOTS-T2_SIGNATURES,0)+IF(BN$3&gt;=T3_LI,T3_NBLOTS-T3_SIGNATURES,0)+IF(BN$3&gt;=T4_LI,T4_NBLOTS-T4_SIGNATURES,0)+IF(BN$3&gt;=T5_LI,T5_NBLOTS-T5_SIGNATURES,0)+IF(BN$3&gt;=T6_LI,T6_NBLOTS-T6_SIGNATURES,0)&lt;&gt;0,IF(BN$3&gt;=T1_LI,T1_NBLOTS-T1_SIGNATURES,0)+IF(BN$3&gt;=T2_LI,T2_NBLOTS-T2_SIGNATURES,0)+IF(BN$3&gt;=T3_LI,T3_NBLOTS-T3_SIGNATURES,0)+IF(BN$3&gt;=T4_LI,T4_NBLOTS-T4_SIGNATURES,0)+IF(BN$3&gt;=T5_LI,T5_NBLOTS-T5_SIGNATURES,0)+IF(BN$3&gt;=T6_LI,T6_NBLOTS-T6_SIGNATURES,0),NA())</f>
        <v>#VALUE!</v>
      </c>
      <c r="BO180" s="267"/>
      <c r="BP180" s="267"/>
      <c r="BQ180" s="267"/>
      <c r="BR180" s="267"/>
      <c r="BS180" s="267"/>
      <c r="BT180" s="267"/>
      <c r="BU180" s="267"/>
      <c r="BV180" s="267"/>
      <c r="BW180" s="267"/>
      <c r="BX180" s="267"/>
      <c r="BY180" s="267"/>
      <c r="BZ180" s="267"/>
      <c r="CA180" s="267"/>
      <c r="CB180" s="267"/>
      <c r="CC180" s="267"/>
      <c r="CD180" s="267"/>
      <c r="CE180" s="267"/>
      <c r="CF180" s="267"/>
      <c r="CG180" s="267"/>
      <c r="CH180" s="267"/>
      <c r="CI180" s="267"/>
      <c r="CJ180" s="267"/>
      <c r="CK180" s="267"/>
      <c r="CL180" s="267"/>
      <c r="CM180" s="267"/>
      <c r="CN180" s="267"/>
      <c r="CO180" s="267"/>
      <c r="CP180" s="267"/>
      <c r="CQ180" s="267"/>
      <c r="CR180" s="267"/>
      <c r="CS180" s="267"/>
      <c r="CT180" s="267"/>
      <c r="CU180" s="267"/>
      <c r="CV180" s="267"/>
      <c r="CW180" s="267"/>
      <c r="CX180" s="267"/>
      <c r="CY180" s="267"/>
      <c r="CZ180" s="267"/>
      <c r="DA180" s="267"/>
      <c r="DB180" s="267"/>
      <c r="DC180" s="267"/>
      <c r="DD180" s="267"/>
      <c r="DE180" s="267"/>
      <c r="DF180" s="267"/>
      <c r="DG180" s="267"/>
      <c r="DH180" s="267"/>
      <c r="DI180" s="267"/>
      <c r="DJ180" s="267"/>
      <c r="DK180" s="267"/>
      <c r="DL180" s="267"/>
      <c r="DM180" s="267"/>
      <c r="DN180" s="267"/>
      <c r="DO180" s="267"/>
      <c r="DP180" s="267"/>
      <c r="DQ180" s="267"/>
      <c r="DR180" s="267"/>
      <c r="DS180" s="267"/>
      <c r="DT180" s="267"/>
      <c r="DU180" s="267"/>
      <c r="DV180" s="267"/>
      <c r="DW180" s="267"/>
      <c r="DX180" s="267"/>
      <c r="DY180" s="267"/>
      <c r="DZ180" s="267"/>
      <c r="EA180" s="267"/>
      <c r="EB180" s="267"/>
      <c r="EC180" s="267"/>
      <c r="ED180" s="267"/>
      <c r="EE180" s="267"/>
      <c r="EF180" s="267"/>
      <c r="EG180" s="267"/>
      <c r="EH180" s="267"/>
      <c r="EI180" s="267"/>
      <c r="EJ180" s="267"/>
      <c r="EK180" s="267"/>
      <c r="EL180" s="267"/>
      <c r="EM180" s="267"/>
      <c r="EN180" s="267"/>
      <c r="EO180" s="267"/>
      <c r="EP180" s="267"/>
      <c r="EQ180" s="267"/>
      <c r="ER180" s="267"/>
      <c r="ES180" s="267"/>
      <c r="ET180" s="267"/>
      <c r="EU180" s="267"/>
      <c r="EV180" s="267"/>
      <c r="EW180" s="267"/>
      <c r="EX180" s="267"/>
      <c r="EY180" s="267"/>
      <c r="EZ180" s="267"/>
      <c r="FA180" s="267"/>
      <c r="FB180" s="267"/>
      <c r="FC180" s="267"/>
      <c r="FD180" s="267"/>
      <c r="FE180" s="267"/>
      <c r="FF180" s="267"/>
      <c r="FG180" s="267"/>
      <c r="FH180" s="267"/>
      <c r="FI180" s="267"/>
      <c r="FJ180" s="267"/>
      <c r="FK180" s="267"/>
      <c r="FL180" s="267"/>
      <c r="FM180" s="267"/>
      <c r="FN180" s="267"/>
      <c r="FO180" s="267"/>
      <c r="FP180" s="267"/>
      <c r="FQ180" s="267"/>
      <c r="FR180" s="267"/>
      <c r="FS180" s="267"/>
      <c r="FT180" s="267"/>
      <c r="FU180" s="267"/>
      <c r="FV180" s="267"/>
      <c r="FW180" s="267"/>
      <c r="FX180" s="267"/>
      <c r="FY180" s="267"/>
      <c r="FZ180" s="267"/>
      <c r="GA180" s="267"/>
      <c r="GB180" s="267"/>
      <c r="GC180" s="267"/>
    </row>
    <row r="181" spans="1:185" ht="13.8" thickBot="1">
      <c r="A181" s="131" t="s">
        <v>156</v>
      </c>
      <c r="BL181" s="362" t="s">
        <v>41</v>
      </c>
      <c r="BM181" s="330" t="e">
        <f>IF(AND(BM$3&lt;=T1_LI,BM$3&gt;=T1_FO),T1_NBLOTS,NA())</f>
        <v>#VALUE!</v>
      </c>
      <c r="BN181" s="267" t="e">
        <f>IF(AND(BN$3&lt;=T1_LI,BN$3&gt;=T1_FO),T1_NBLOTS,NA())</f>
        <v>#VALUE!</v>
      </c>
      <c r="BO181" s="267"/>
      <c r="BP181" s="267"/>
      <c r="BQ181" s="267"/>
      <c r="BR181" s="267"/>
      <c r="BS181" s="267"/>
      <c r="BT181" s="267"/>
      <c r="BU181" s="267"/>
      <c r="BV181" s="267"/>
      <c r="BW181" s="267"/>
      <c r="BX181" s="267"/>
      <c r="BY181" s="267"/>
      <c r="BZ181" s="267"/>
      <c r="CA181" s="267"/>
      <c r="CB181" s="267"/>
      <c r="CC181" s="267"/>
      <c r="CD181" s="267"/>
      <c r="CE181" s="267"/>
      <c r="CF181" s="267"/>
      <c r="CG181" s="267"/>
      <c r="CH181" s="267"/>
      <c r="CI181" s="267"/>
      <c r="CJ181" s="267"/>
      <c r="CK181" s="267"/>
      <c r="CL181" s="267"/>
      <c r="CM181" s="267"/>
      <c r="CN181" s="267"/>
      <c r="CO181" s="267"/>
      <c r="CP181" s="267"/>
      <c r="CQ181" s="267"/>
      <c r="CR181" s="267"/>
      <c r="CS181" s="267"/>
      <c r="CT181" s="267"/>
      <c r="CU181" s="267"/>
      <c r="CV181" s="267"/>
      <c r="CW181" s="267"/>
      <c r="CX181" s="267"/>
      <c r="CY181" s="267"/>
      <c r="CZ181" s="267"/>
      <c r="DA181" s="267"/>
      <c r="DB181" s="267"/>
      <c r="DC181" s="267"/>
      <c r="DD181" s="267"/>
      <c r="DE181" s="267"/>
      <c r="DF181" s="267"/>
      <c r="DG181" s="267"/>
      <c r="DH181" s="267"/>
      <c r="DI181" s="267"/>
      <c r="DJ181" s="267"/>
      <c r="DK181" s="267"/>
      <c r="DL181" s="267"/>
      <c r="DM181" s="267"/>
      <c r="DN181" s="267"/>
      <c r="DO181" s="267"/>
      <c r="DP181" s="267"/>
      <c r="DQ181" s="267"/>
      <c r="DR181" s="267"/>
      <c r="DS181" s="267"/>
      <c r="DT181" s="267"/>
      <c r="DU181" s="267"/>
      <c r="DV181" s="267"/>
      <c r="DW181" s="267"/>
      <c r="DX181" s="267"/>
      <c r="DY181" s="267"/>
      <c r="DZ181" s="267"/>
      <c r="EA181" s="267"/>
      <c r="EB181" s="267"/>
      <c r="EC181" s="267"/>
      <c r="ED181" s="267"/>
      <c r="EE181" s="267"/>
      <c r="EF181" s="267"/>
      <c r="EG181" s="267"/>
      <c r="EH181" s="267"/>
      <c r="EI181" s="267"/>
      <c r="EJ181" s="267"/>
      <c r="EK181" s="267"/>
      <c r="EL181" s="267"/>
      <c r="EM181" s="267"/>
      <c r="EN181" s="267"/>
      <c r="EO181" s="267"/>
      <c r="EP181" s="267"/>
      <c r="EQ181" s="267"/>
      <c r="ER181" s="267"/>
      <c r="ES181" s="267"/>
      <c r="ET181" s="267"/>
      <c r="EU181" s="267"/>
      <c r="EV181" s="267"/>
      <c r="EW181" s="267"/>
      <c r="EX181" s="267"/>
      <c r="EY181" s="267"/>
      <c r="EZ181" s="267"/>
      <c r="FA181" s="267"/>
      <c r="FB181" s="267"/>
      <c r="FC181" s="267"/>
      <c r="FD181" s="267"/>
      <c r="FE181" s="267"/>
      <c r="FF181" s="267"/>
      <c r="FG181" s="267"/>
      <c r="FH181" s="267"/>
      <c r="FI181" s="267"/>
      <c r="FJ181" s="267"/>
      <c r="FK181" s="267"/>
      <c r="FL181" s="267"/>
      <c r="FM181" s="267"/>
      <c r="FN181" s="267"/>
      <c r="FO181" s="267"/>
      <c r="FP181" s="267"/>
      <c r="FQ181" s="267"/>
      <c r="FR181" s="267"/>
      <c r="FS181" s="267"/>
      <c r="FT181" s="267"/>
      <c r="FU181" s="267"/>
      <c r="FV181" s="267"/>
      <c r="FW181" s="267"/>
      <c r="FX181" s="267"/>
      <c r="FY181" s="267"/>
      <c r="FZ181" s="267"/>
      <c r="GA181" s="267"/>
      <c r="GB181" s="267"/>
      <c r="GC181" s="267"/>
    </row>
    <row r="182" spans="1:185" ht="13.8" thickBot="1">
      <c r="A182" s="131" t="s">
        <v>157</v>
      </c>
      <c r="BL182" s="362" t="s">
        <v>51</v>
      </c>
      <c r="BM182" s="330" t="e">
        <f>IF(AND(BM$3&lt;=T2_LI,BM$3&gt;=T2_FO),T1_NBLOTS+T2_NBLOTS,NA())</f>
        <v>#VALUE!</v>
      </c>
      <c r="BN182" s="267" t="e">
        <f>IF(AND(BN$3&lt;=T2_LI,BN$3&gt;=T2_FO),T1_NBLOTS+T2_NBLOTS,NA())</f>
        <v>#VALUE!</v>
      </c>
      <c r="BO182" s="267"/>
      <c r="BP182" s="267"/>
      <c r="BQ182" s="267"/>
      <c r="BR182" s="267"/>
      <c r="BS182" s="267"/>
      <c r="BT182" s="267"/>
      <c r="BU182" s="267"/>
      <c r="BV182" s="267"/>
      <c r="BW182" s="267"/>
      <c r="BX182" s="267"/>
      <c r="BY182" s="267"/>
      <c r="BZ182" s="267"/>
      <c r="CA182" s="267"/>
      <c r="CB182" s="267"/>
      <c r="CC182" s="267"/>
      <c r="CD182" s="267"/>
      <c r="CE182" s="267"/>
      <c r="CF182" s="267"/>
      <c r="CG182" s="267"/>
      <c r="CH182" s="267"/>
      <c r="CI182" s="267"/>
      <c r="CJ182" s="267"/>
      <c r="CK182" s="267"/>
      <c r="CL182" s="267"/>
      <c r="CM182" s="267"/>
      <c r="CN182" s="267"/>
      <c r="CO182" s="267"/>
      <c r="CP182" s="267"/>
      <c r="CQ182" s="267"/>
      <c r="CR182" s="267"/>
      <c r="CS182" s="267"/>
      <c r="CT182" s="267"/>
      <c r="CU182" s="267"/>
      <c r="CV182" s="267"/>
      <c r="CW182" s="267"/>
      <c r="CX182" s="267"/>
      <c r="CY182" s="267"/>
      <c r="CZ182" s="267"/>
      <c r="DA182" s="267"/>
      <c r="DB182" s="267"/>
      <c r="DC182" s="267"/>
      <c r="DD182" s="267"/>
      <c r="DE182" s="267"/>
      <c r="DF182" s="267"/>
      <c r="DG182" s="267"/>
      <c r="DH182" s="267"/>
      <c r="DI182" s="267"/>
      <c r="DJ182" s="267"/>
      <c r="DK182" s="267"/>
      <c r="DL182" s="267"/>
      <c r="DM182" s="267"/>
      <c r="DN182" s="267"/>
      <c r="DO182" s="267"/>
      <c r="DP182" s="267"/>
      <c r="DQ182" s="267"/>
      <c r="DR182" s="267"/>
      <c r="DS182" s="267"/>
      <c r="DT182" s="267"/>
      <c r="DU182" s="267"/>
      <c r="DV182" s="267"/>
      <c r="DW182" s="267"/>
      <c r="DX182" s="267"/>
      <c r="DY182" s="267"/>
      <c r="DZ182" s="267"/>
      <c r="EA182" s="267"/>
      <c r="EB182" s="267"/>
      <c r="EC182" s="267"/>
      <c r="ED182" s="267"/>
      <c r="EE182" s="267"/>
      <c r="EF182" s="267"/>
      <c r="EG182" s="267"/>
      <c r="EH182" s="267"/>
      <c r="EI182" s="267"/>
      <c r="EJ182" s="267"/>
      <c r="EK182" s="267"/>
      <c r="EL182" s="267"/>
      <c r="EM182" s="267"/>
      <c r="EN182" s="267"/>
      <c r="EO182" s="267"/>
      <c r="EP182" s="267"/>
      <c r="EQ182" s="267"/>
      <c r="ER182" s="267"/>
      <c r="ES182" s="267"/>
      <c r="ET182" s="267"/>
      <c r="EU182" s="267"/>
      <c r="EV182" s="267"/>
      <c r="EW182" s="267"/>
      <c r="EX182" s="267"/>
      <c r="EY182" s="267"/>
      <c r="EZ182" s="267"/>
      <c r="FA182" s="267"/>
      <c r="FB182" s="267"/>
      <c r="FC182" s="267"/>
      <c r="FD182" s="267"/>
      <c r="FE182" s="267"/>
      <c r="FF182" s="267"/>
      <c r="FG182" s="267"/>
      <c r="FH182" s="267"/>
      <c r="FI182" s="267"/>
      <c r="FJ182" s="267"/>
      <c r="FK182" s="267"/>
      <c r="FL182" s="267"/>
      <c r="FM182" s="267"/>
      <c r="FN182" s="267"/>
      <c r="FO182" s="267"/>
      <c r="FP182" s="267"/>
      <c r="FQ182" s="267"/>
      <c r="FR182" s="267"/>
      <c r="FS182" s="267"/>
      <c r="FT182" s="267"/>
      <c r="FU182" s="267"/>
      <c r="FV182" s="267"/>
      <c r="FW182" s="267"/>
      <c r="FX182" s="267"/>
      <c r="FY182" s="267"/>
      <c r="FZ182" s="267"/>
      <c r="GA182" s="267"/>
      <c r="GB182" s="267"/>
      <c r="GC182" s="267"/>
    </row>
    <row r="183" spans="1:185" ht="13.8" thickBot="1">
      <c r="A183" s="131" t="s">
        <v>158</v>
      </c>
      <c r="BL183" s="365" t="s">
        <v>53</v>
      </c>
      <c r="BM183" s="330" t="e">
        <f>IF(AND(BM$3&lt;=T3_LI,BM$3&gt;=T3_FO),T1_NBLOTS+T2_NBLOTS+T3_NBLOTS,NA())</f>
        <v>#VALUE!</v>
      </c>
      <c r="BN183" s="267" t="e">
        <f>IF(AND(BN$3&lt;=T3_LI,BN$3&gt;=T3_FO),T1_NBLOTS+T2_NBLOTS+T3_NBLOTS,NA())</f>
        <v>#VALUE!</v>
      </c>
      <c r="BO183" s="267"/>
      <c r="BP183" s="267"/>
      <c r="BQ183" s="267"/>
      <c r="BR183" s="267"/>
      <c r="BS183" s="267"/>
      <c r="BT183" s="267"/>
      <c r="BU183" s="267"/>
      <c r="BV183" s="267"/>
      <c r="BW183" s="267"/>
      <c r="BX183" s="267"/>
      <c r="BY183" s="267"/>
      <c r="BZ183" s="267"/>
      <c r="CA183" s="267"/>
      <c r="CB183" s="267"/>
      <c r="CC183" s="267"/>
      <c r="CD183" s="267"/>
      <c r="CE183" s="267"/>
      <c r="CF183" s="267"/>
      <c r="CG183" s="267"/>
      <c r="CH183" s="267"/>
      <c r="CI183" s="267"/>
      <c r="CJ183" s="267"/>
      <c r="CK183" s="267"/>
      <c r="CL183" s="267"/>
      <c r="CM183" s="267"/>
      <c r="CN183" s="267"/>
      <c r="CO183" s="267"/>
      <c r="CP183" s="267"/>
      <c r="CQ183" s="267"/>
      <c r="CR183" s="267"/>
      <c r="CS183" s="267"/>
      <c r="CT183" s="267"/>
      <c r="CU183" s="267"/>
      <c r="CV183" s="267"/>
      <c r="CW183" s="267"/>
      <c r="CX183" s="267"/>
      <c r="CY183" s="267"/>
      <c r="CZ183" s="267"/>
      <c r="DA183" s="267"/>
      <c r="DB183" s="267"/>
      <c r="DC183" s="267"/>
      <c r="DD183" s="267"/>
      <c r="DE183" s="267"/>
      <c r="DF183" s="267"/>
      <c r="DG183" s="267"/>
      <c r="DH183" s="267"/>
      <c r="DI183" s="267"/>
      <c r="DJ183" s="267"/>
      <c r="DK183" s="267"/>
      <c r="DL183" s="267"/>
      <c r="DM183" s="267"/>
      <c r="DN183" s="267"/>
      <c r="DO183" s="267"/>
      <c r="DP183" s="267"/>
      <c r="DQ183" s="267"/>
      <c r="DR183" s="267"/>
      <c r="DS183" s="267"/>
      <c r="DT183" s="267"/>
      <c r="DU183" s="267"/>
      <c r="DV183" s="267"/>
      <c r="DW183" s="267"/>
      <c r="DX183" s="267"/>
      <c r="DY183" s="267"/>
      <c r="DZ183" s="267"/>
      <c r="EA183" s="267"/>
      <c r="EB183" s="267"/>
      <c r="EC183" s="267"/>
      <c r="ED183" s="267"/>
      <c r="EE183" s="267"/>
      <c r="EF183" s="267"/>
      <c r="EG183" s="267"/>
      <c r="EH183" s="267"/>
      <c r="EI183" s="267"/>
      <c r="EJ183" s="267"/>
      <c r="EK183" s="267"/>
      <c r="EL183" s="267"/>
      <c r="EM183" s="267"/>
      <c r="EN183" s="267"/>
      <c r="EO183" s="267"/>
      <c r="EP183" s="267"/>
      <c r="EQ183" s="267"/>
      <c r="ER183" s="267"/>
      <c r="ES183" s="267"/>
      <c r="ET183" s="267"/>
      <c r="EU183" s="267"/>
      <c r="EV183" s="267"/>
      <c r="EW183" s="267"/>
      <c r="EX183" s="267"/>
      <c r="EY183" s="267"/>
      <c r="EZ183" s="267"/>
      <c r="FA183" s="267"/>
      <c r="FB183" s="267"/>
      <c r="FC183" s="267"/>
      <c r="FD183" s="267"/>
      <c r="FE183" s="267"/>
      <c r="FF183" s="267"/>
      <c r="FG183" s="267"/>
      <c r="FH183" s="267"/>
      <c r="FI183" s="267"/>
      <c r="FJ183" s="267"/>
      <c r="FK183" s="267"/>
      <c r="FL183" s="267"/>
      <c r="FM183" s="267"/>
      <c r="FN183" s="267"/>
      <c r="FO183" s="267"/>
      <c r="FP183" s="267"/>
      <c r="FQ183" s="267"/>
      <c r="FR183" s="267"/>
      <c r="FS183" s="267"/>
      <c r="FT183" s="267"/>
      <c r="FU183" s="267"/>
      <c r="FV183" s="267"/>
      <c r="FW183" s="267"/>
      <c r="FX183" s="267"/>
      <c r="FY183" s="267"/>
      <c r="FZ183" s="267"/>
      <c r="GA183" s="267"/>
      <c r="GB183" s="267"/>
      <c r="GC183" s="267"/>
    </row>
    <row r="184" spans="1:185" ht="13.8" thickBot="1">
      <c r="A184" s="131" t="s">
        <v>159</v>
      </c>
      <c r="BL184" s="365" t="s">
        <v>55</v>
      </c>
      <c r="BM184" s="330" t="e">
        <f>IF(AND(BM$3&lt;=T4_LI,BM$3&gt;=T4_FO),T1_NBLOTS+T2_NBLOTS+T3_NBLOTS+T4_NBLOTS,NA())</f>
        <v>#VALUE!</v>
      </c>
      <c r="BN184" s="267" t="e">
        <f>IF(AND(BN$3&lt;=T4_LI,BN$3&gt;=T4_FO),T1_NBLOTS+T2_NBLOTS+T3_NBLOTS+T4_NBLOTS,NA())</f>
        <v>#VALUE!</v>
      </c>
      <c r="BO184" s="267"/>
      <c r="BP184" s="267"/>
      <c r="BQ184" s="267"/>
      <c r="BR184" s="267"/>
      <c r="BS184" s="267"/>
      <c r="BT184" s="267"/>
      <c r="BU184" s="267"/>
      <c r="BV184" s="267"/>
      <c r="BW184" s="267"/>
      <c r="BX184" s="267"/>
      <c r="BY184" s="267"/>
      <c r="BZ184" s="267"/>
      <c r="CA184" s="267"/>
      <c r="CB184" s="267"/>
      <c r="CC184" s="267"/>
      <c r="CD184" s="267"/>
      <c r="CE184" s="267"/>
      <c r="CF184" s="267"/>
      <c r="CG184" s="267"/>
      <c r="CH184" s="267"/>
      <c r="CI184" s="267"/>
      <c r="CJ184" s="267"/>
      <c r="CK184" s="267"/>
      <c r="CL184" s="267"/>
      <c r="CM184" s="267"/>
      <c r="CN184" s="267"/>
      <c r="CO184" s="267"/>
      <c r="CP184" s="267"/>
      <c r="CQ184" s="267"/>
      <c r="CR184" s="267"/>
      <c r="CS184" s="267"/>
      <c r="CT184" s="267"/>
      <c r="CU184" s="267"/>
      <c r="CV184" s="267"/>
      <c r="CW184" s="267"/>
      <c r="CX184" s="267"/>
      <c r="CY184" s="267"/>
      <c r="CZ184" s="267"/>
      <c r="DA184" s="267"/>
      <c r="DB184" s="267"/>
      <c r="DC184" s="267"/>
      <c r="DD184" s="267"/>
      <c r="DE184" s="267"/>
      <c r="DF184" s="267"/>
      <c r="DG184" s="267"/>
      <c r="DH184" s="267"/>
      <c r="DI184" s="267"/>
      <c r="DJ184" s="267"/>
      <c r="DK184" s="267"/>
      <c r="DL184" s="267"/>
      <c r="DM184" s="267"/>
      <c r="DN184" s="267"/>
      <c r="DO184" s="267"/>
      <c r="DP184" s="267"/>
      <c r="DQ184" s="267"/>
      <c r="DR184" s="267"/>
      <c r="DS184" s="267"/>
      <c r="DT184" s="267"/>
      <c r="DU184" s="267"/>
      <c r="DV184" s="267"/>
      <c r="DW184" s="267"/>
      <c r="DX184" s="267"/>
      <c r="DY184" s="267"/>
      <c r="DZ184" s="267"/>
      <c r="EA184" s="267"/>
      <c r="EB184" s="267"/>
      <c r="EC184" s="267"/>
      <c r="ED184" s="267"/>
      <c r="EE184" s="267"/>
      <c r="EF184" s="267"/>
      <c r="EG184" s="267"/>
      <c r="EH184" s="267"/>
      <c r="EI184" s="267"/>
      <c r="EJ184" s="267"/>
      <c r="EK184" s="267"/>
      <c r="EL184" s="267"/>
      <c r="EM184" s="267"/>
      <c r="EN184" s="267"/>
      <c r="EO184" s="267"/>
      <c r="EP184" s="267"/>
      <c r="EQ184" s="267"/>
      <c r="ER184" s="267"/>
      <c r="ES184" s="267"/>
      <c r="ET184" s="267"/>
      <c r="EU184" s="267"/>
      <c r="EV184" s="267"/>
      <c r="EW184" s="267"/>
      <c r="EX184" s="267"/>
      <c r="EY184" s="267"/>
      <c r="EZ184" s="267"/>
      <c r="FA184" s="267"/>
      <c r="FB184" s="267"/>
      <c r="FC184" s="267"/>
      <c r="FD184" s="267"/>
      <c r="FE184" s="267"/>
      <c r="FF184" s="267"/>
      <c r="FG184" s="267"/>
      <c r="FH184" s="267"/>
      <c r="FI184" s="267"/>
      <c r="FJ184" s="267"/>
      <c r="FK184" s="267"/>
      <c r="FL184" s="267"/>
      <c r="FM184" s="267"/>
      <c r="FN184" s="267"/>
      <c r="FO184" s="267"/>
      <c r="FP184" s="267"/>
      <c r="FQ184" s="267"/>
      <c r="FR184" s="267"/>
      <c r="FS184" s="267"/>
      <c r="FT184" s="267"/>
      <c r="FU184" s="267"/>
      <c r="FV184" s="267"/>
      <c r="FW184" s="267"/>
      <c r="FX184" s="267"/>
      <c r="FY184" s="267"/>
      <c r="FZ184" s="267"/>
      <c r="GA184" s="267"/>
      <c r="GB184" s="267"/>
      <c r="GC184" s="267"/>
    </row>
    <row r="185" spans="1:185" ht="13.8" thickBot="1">
      <c r="A185" s="131" t="s">
        <v>160</v>
      </c>
      <c r="BL185" s="365" t="s">
        <v>57</v>
      </c>
      <c r="BM185" s="330" t="e">
        <f>IF(AND(BM$3&lt;=T5_LI,BM$3&gt;=T5_FO),T1_NBLOTS+T2_NBLOTS+T3_NBLOTS+T4_NBLOTS+T5_NBLOTS,NA())</f>
        <v>#VALUE!</v>
      </c>
      <c r="BN185" s="267" t="e">
        <f>IF(AND(BN$3&lt;=T5_LI,BN$3&gt;=T5_FO),T1_NBLOTS+T2_NBLOTS+T3_NBLOTS+T4_NBLOTS+T5_NBLOTS,NA())</f>
        <v>#VALUE!</v>
      </c>
      <c r="BO185" s="267"/>
      <c r="BP185" s="267"/>
      <c r="BQ185" s="267"/>
      <c r="BR185" s="267"/>
      <c r="BS185" s="267"/>
      <c r="BT185" s="267"/>
      <c r="BU185" s="267"/>
      <c r="BV185" s="267"/>
      <c r="BW185" s="267"/>
      <c r="BX185" s="267"/>
      <c r="BY185" s="267"/>
      <c r="BZ185" s="267"/>
      <c r="CA185" s="267"/>
      <c r="CB185" s="267"/>
      <c r="CC185" s="267"/>
      <c r="CD185" s="267"/>
      <c r="CE185" s="267"/>
      <c r="CF185" s="267"/>
      <c r="CG185" s="267"/>
      <c r="CH185" s="267"/>
      <c r="CI185" s="267"/>
      <c r="CJ185" s="267"/>
      <c r="CK185" s="267"/>
      <c r="CL185" s="267"/>
      <c r="CM185" s="267"/>
      <c r="CN185" s="267"/>
      <c r="CO185" s="267"/>
      <c r="CP185" s="267"/>
      <c r="CQ185" s="267"/>
      <c r="CR185" s="267"/>
      <c r="CS185" s="267"/>
      <c r="CT185" s="267"/>
      <c r="CU185" s="267"/>
      <c r="CV185" s="267"/>
      <c r="CW185" s="267"/>
      <c r="CX185" s="267"/>
      <c r="CY185" s="267"/>
      <c r="CZ185" s="267"/>
      <c r="DA185" s="267"/>
      <c r="DB185" s="267"/>
      <c r="DC185" s="267"/>
      <c r="DD185" s="267"/>
      <c r="DE185" s="267"/>
      <c r="DF185" s="267"/>
      <c r="DG185" s="267"/>
      <c r="DH185" s="267"/>
      <c r="DI185" s="267"/>
      <c r="DJ185" s="267"/>
      <c r="DK185" s="267"/>
      <c r="DL185" s="267"/>
      <c r="DM185" s="267"/>
      <c r="DN185" s="267"/>
      <c r="DO185" s="267"/>
      <c r="DP185" s="267"/>
      <c r="DQ185" s="267"/>
      <c r="DR185" s="267"/>
      <c r="DS185" s="267"/>
      <c r="DT185" s="267"/>
      <c r="DU185" s="267"/>
      <c r="DV185" s="267"/>
      <c r="DW185" s="267"/>
      <c r="DX185" s="267"/>
      <c r="DY185" s="267"/>
      <c r="DZ185" s="267"/>
      <c r="EA185" s="267"/>
      <c r="EB185" s="267"/>
      <c r="EC185" s="267"/>
      <c r="ED185" s="267"/>
      <c r="EE185" s="267"/>
      <c r="EF185" s="267"/>
      <c r="EG185" s="267"/>
      <c r="EH185" s="267"/>
      <c r="EI185" s="267"/>
      <c r="EJ185" s="267"/>
      <c r="EK185" s="267"/>
      <c r="EL185" s="267"/>
      <c r="EM185" s="267"/>
      <c r="EN185" s="267"/>
      <c r="EO185" s="267"/>
      <c r="EP185" s="267"/>
      <c r="EQ185" s="267"/>
      <c r="ER185" s="267"/>
      <c r="ES185" s="267"/>
      <c r="ET185" s="267"/>
      <c r="EU185" s="267"/>
      <c r="EV185" s="267"/>
      <c r="EW185" s="267"/>
      <c r="EX185" s="267"/>
      <c r="EY185" s="267"/>
      <c r="EZ185" s="267"/>
      <c r="FA185" s="267"/>
      <c r="FB185" s="267"/>
      <c r="FC185" s="267"/>
      <c r="FD185" s="267"/>
      <c r="FE185" s="267"/>
      <c r="FF185" s="267"/>
      <c r="FG185" s="267"/>
      <c r="FH185" s="267"/>
      <c r="FI185" s="267"/>
      <c r="FJ185" s="267"/>
      <c r="FK185" s="267"/>
      <c r="FL185" s="267"/>
      <c r="FM185" s="267"/>
      <c r="FN185" s="267"/>
      <c r="FO185" s="267"/>
      <c r="FP185" s="267"/>
      <c r="FQ185" s="267"/>
      <c r="FR185" s="267"/>
      <c r="FS185" s="267"/>
      <c r="FT185" s="267"/>
      <c r="FU185" s="267"/>
      <c r="FV185" s="267"/>
      <c r="FW185" s="267"/>
      <c r="FX185" s="267"/>
      <c r="FY185" s="267"/>
      <c r="FZ185" s="267"/>
      <c r="GA185" s="267"/>
      <c r="GB185" s="267"/>
      <c r="GC185" s="267"/>
    </row>
    <row r="186" spans="1:185" ht="13.8" thickBot="1">
      <c r="A186" s="131" t="s">
        <v>161</v>
      </c>
      <c r="BL186" s="365" t="s">
        <v>59</v>
      </c>
      <c r="BM186" s="366" t="e">
        <f>IF(AND(BM$3&lt;=T6_LI,BM$3&gt;=T6_FO),T1_NBLOTS+T2_NBLOTS+T3_NBLOTS+T4_NBLOTS+T5_NBLOTS+T6_NBLOTS,NA())</f>
        <v>#VALUE!</v>
      </c>
      <c r="BN186" s="367" t="e">
        <f>IF(AND(BN$3&lt;=T6_LI,BN$3&gt;=T6_FO),T1_NBLOTS+T2_NBLOTS+T3_NBLOTS+T4_NBLOTS+T5_NBLOTS+T6_NBLOTS,NA())</f>
        <v>#VALUE!</v>
      </c>
      <c r="BO186" s="367"/>
      <c r="BP186" s="367"/>
      <c r="BQ186" s="367"/>
      <c r="BR186" s="367"/>
      <c r="BS186" s="367"/>
      <c r="BT186" s="367"/>
      <c r="BU186" s="367"/>
      <c r="BV186" s="367"/>
      <c r="BW186" s="367"/>
      <c r="BX186" s="367"/>
      <c r="BY186" s="367"/>
      <c r="BZ186" s="367"/>
      <c r="CA186" s="367"/>
      <c r="CB186" s="367"/>
      <c r="CC186" s="367"/>
      <c r="CD186" s="367"/>
      <c r="CE186" s="367"/>
      <c r="CF186" s="367"/>
      <c r="CG186" s="367"/>
      <c r="CH186" s="367"/>
      <c r="CI186" s="367"/>
      <c r="CJ186" s="367"/>
      <c r="CK186" s="367"/>
      <c r="CL186" s="367"/>
      <c r="CM186" s="367"/>
      <c r="CN186" s="367"/>
      <c r="CO186" s="367"/>
      <c r="CP186" s="367"/>
      <c r="CQ186" s="367"/>
      <c r="CR186" s="367"/>
      <c r="CS186" s="367"/>
      <c r="CT186" s="367"/>
      <c r="CU186" s="367"/>
      <c r="CV186" s="367"/>
      <c r="CW186" s="367"/>
      <c r="CX186" s="367"/>
      <c r="CY186" s="367"/>
      <c r="CZ186" s="367"/>
      <c r="DA186" s="367"/>
      <c r="DB186" s="367"/>
      <c r="DC186" s="367"/>
      <c r="DD186" s="367"/>
      <c r="DE186" s="367"/>
      <c r="DF186" s="367"/>
      <c r="DG186" s="367"/>
      <c r="DH186" s="367"/>
      <c r="DI186" s="367"/>
      <c r="DJ186" s="367"/>
      <c r="DK186" s="367"/>
      <c r="DL186" s="367"/>
      <c r="DM186" s="367"/>
      <c r="DN186" s="367"/>
      <c r="DO186" s="367"/>
      <c r="DP186" s="367"/>
      <c r="DQ186" s="367"/>
      <c r="DR186" s="367"/>
      <c r="DS186" s="367"/>
      <c r="DT186" s="367"/>
      <c r="DU186" s="367"/>
      <c r="DV186" s="367"/>
      <c r="DW186" s="367"/>
      <c r="DX186" s="367"/>
      <c r="DY186" s="367"/>
      <c r="DZ186" s="367"/>
      <c r="EA186" s="367"/>
      <c r="EB186" s="367"/>
      <c r="EC186" s="367"/>
      <c r="ED186" s="367"/>
      <c r="EE186" s="367"/>
      <c r="EF186" s="367"/>
      <c r="EG186" s="367"/>
      <c r="EH186" s="367"/>
      <c r="EI186" s="367"/>
      <c r="EJ186" s="367"/>
      <c r="EK186" s="367"/>
      <c r="EL186" s="367"/>
      <c r="EM186" s="367"/>
      <c r="EN186" s="367"/>
      <c r="EO186" s="367"/>
      <c r="EP186" s="367"/>
      <c r="EQ186" s="367"/>
      <c r="ER186" s="367"/>
      <c r="ES186" s="367"/>
      <c r="ET186" s="367"/>
      <c r="EU186" s="367"/>
      <c r="EV186" s="367"/>
      <c r="EW186" s="367"/>
      <c r="EX186" s="367"/>
      <c r="EY186" s="367"/>
      <c r="EZ186" s="367"/>
      <c r="FA186" s="367"/>
      <c r="FB186" s="367"/>
      <c r="FC186" s="367"/>
      <c r="FD186" s="367"/>
      <c r="FE186" s="367"/>
      <c r="FF186" s="367"/>
      <c r="FG186" s="367"/>
      <c r="FH186" s="367"/>
      <c r="FI186" s="367"/>
      <c r="FJ186" s="367"/>
      <c r="FK186" s="367"/>
      <c r="FL186" s="367"/>
      <c r="FM186" s="367"/>
      <c r="FN186" s="367"/>
      <c r="FO186" s="367"/>
      <c r="FP186" s="367"/>
      <c r="FQ186" s="367"/>
      <c r="FR186" s="367"/>
      <c r="FS186" s="367"/>
      <c r="FT186" s="367"/>
      <c r="FU186" s="367"/>
      <c r="FV186" s="367"/>
      <c r="FW186" s="367"/>
      <c r="FX186" s="367"/>
      <c r="FY186" s="367"/>
      <c r="FZ186" s="367"/>
      <c r="GA186" s="367"/>
      <c r="GB186" s="367"/>
      <c r="GC186" s="367"/>
    </row>
    <row r="189" spans="1:185">
      <c r="A189" s="368" t="s">
        <v>162</v>
      </c>
      <c r="B189" s="369"/>
      <c r="C189" s="132"/>
      <c r="D189" s="232">
        <v>2</v>
      </c>
      <c r="BK189" s="132"/>
      <c r="BL189" s="132"/>
    </row>
    <row r="190" spans="1:185">
      <c r="A190" s="370" t="s">
        <v>163</v>
      </c>
      <c r="B190" s="131"/>
      <c r="C190" s="132"/>
      <c r="D190" s="209">
        <v>6</v>
      </c>
      <c r="E190" s="132" t="s">
        <v>164</v>
      </c>
      <c r="N190" s="132"/>
      <c r="BK190" s="132"/>
      <c r="BL190" s="132"/>
    </row>
    <row r="191" spans="1:185" ht="18" customHeight="1">
      <c r="A191" s="131" t="s">
        <v>165</v>
      </c>
      <c r="B191" s="131"/>
      <c r="C191" s="132"/>
      <c r="D191" s="209">
        <v>10</v>
      </c>
      <c r="E191" s="132" t="s">
        <v>166</v>
      </c>
      <c r="N191" s="132"/>
      <c r="BK191" s="132"/>
      <c r="BL191" s="132"/>
    </row>
    <row r="192" spans="1:185" ht="18" customHeight="1">
      <c r="A192" s="131" t="s">
        <v>167</v>
      </c>
      <c r="B192" s="131"/>
      <c r="C192" s="132"/>
      <c r="D192" s="233">
        <v>39814</v>
      </c>
      <c r="F192" s="134" t="s">
        <v>168</v>
      </c>
      <c r="I192" s="209" t="e">
        <f>(YEAR(DATE_DEB_EDIT)-YEAR(DATE_DEBUT))*12+MONTH(DATE_DEB_EDIT)-MONTH(DATE_DEBUT)</f>
        <v>#VALUE!</v>
      </c>
      <c r="T192" s="371"/>
      <c r="BK192" s="132"/>
      <c r="BL192" s="132"/>
    </row>
    <row r="193" spans="1:65" ht="18" customHeight="1" thickBot="1">
      <c r="B193" s="131"/>
      <c r="C193" s="132"/>
      <c r="S193" s="949" t="s">
        <v>531</v>
      </c>
      <c r="T193" s="950" t="s">
        <v>532</v>
      </c>
      <c r="BK193" s="132"/>
      <c r="BL193" s="132"/>
    </row>
    <row r="194" spans="1:65" ht="17.100000000000001" customHeight="1" thickBot="1">
      <c r="A194" s="131" t="s">
        <v>169</v>
      </c>
      <c r="C194" s="372" t="s">
        <v>170</v>
      </c>
      <c r="D194" s="373"/>
      <c r="E194" s="212"/>
      <c r="F194" s="374" t="str">
        <f>TRESO!C1</f>
        <v>Briscous</v>
      </c>
      <c r="G194" s="375"/>
      <c r="H194" s="376"/>
      <c r="N194" s="132"/>
      <c r="Q194" s="377" t="s">
        <v>171</v>
      </c>
      <c r="R194" s="373"/>
      <c r="S194" s="130">
        <f>TRESO!N3</f>
        <v>6</v>
      </c>
      <c r="T194" s="948" t="e">
        <f>FF_BUD/CHIF_AFF</f>
        <v>#DIV/0!</v>
      </c>
      <c r="V194" s="372" t="s">
        <v>172</v>
      </c>
      <c r="W194" s="212"/>
      <c r="X194" s="379" t="str">
        <f>IF(TRESO!M1&lt;&gt;"",TRESO!M1,"")</f>
        <v/>
      </c>
      <c r="Y194" s="380"/>
      <c r="BF194" s="132"/>
      <c r="BG194" s="138"/>
      <c r="BK194" s="132"/>
      <c r="BL194" s="132"/>
    </row>
    <row r="195" spans="1:65" ht="17.100000000000001" customHeight="1" thickBot="1">
      <c r="C195" s="372" t="s">
        <v>173</v>
      </c>
      <c r="D195" s="373"/>
      <c r="E195" s="212"/>
      <c r="F195" s="374" t="str">
        <f>TRESO!C2</f>
        <v xml:space="preserve"> </v>
      </c>
      <c r="G195" s="381"/>
      <c r="H195" s="382"/>
      <c r="I195" s="382"/>
      <c r="N195" s="132"/>
      <c r="Q195" s="377" t="s">
        <v>174</v>
      </c>
      <c r="R195" s="383"/>
      <c r="S195" s="130">
        <f>FF_CAL_TAB*-1+FF_INI_BUD</f>
        <v>0</v>
      </c>
      <c r="T195" s="948" t="e">
        <f>S195/CHIF_AFF</f>
        <v>#DIV/0!</v>
      </c>
      <c r="BF195" s="132"/>
      <c r="BG195" s="138"/>
      <c r="BK195" s="132"/>
      <c r="BL195" s="132"/>
    </row>
    <row r="196" spans="1:65" ht="17.100000000000001" customHeight="1" thickBot="1">
      <c r="C196" s="372" t="s">
        <v>175</v>
      </c>
      <c r="D196" s="301"/>
      <c r="E196" s="212"/>
      <c r="F196" s="384">
        <f>TRESO!C3</f>
        <v>0</v>
      </c>
      <c r="J196" s="372" t="s">
        <v>216</v>
      </c>
      <c r="K196" s="301"/>
      <c r="L196" s="301"/>
      <c r="M196" s="433">
        <f>TRESO!E20+TRESO!G20+TRESO!I20+TRESO!K20+TRESO!M20</f>
        <v>0</v>
      </c>
      <c r="N196" s="385" t="s">
        <v>176</v>
      </c>
      <c r="O196" s="386"/>
      <c r="P196" s="387" t="str">
        <f>IF(AP_MT &lt;&gt; 0,IF(MIN(AP_RBT_CALC)&lt;&gt;53326,MIN(AP_RBT_CALC),""),"")</f>
        <v/>
      </c>
      <c r="Q196" s="377" t="s">
        <v>530</v>
      </c>
      <c r="R196" s="373"/>
      <c r="S196" s="130">
        <f>FF_BUD-FF_CAL</f>
        <v>6</v>
      </c>
      <c r="T196" s="948" t="e">
        <f>S196/CHIF_AFF</f>
        <v>#DIV/0!</v>
      </c>
      <c r="BF196" s="132"/>
      <c r="BG196" s="138"/>
      <c r="BM196" s="139"/>
    </row>
    <row r="197" spans="1:65" ht="17.100000000000001" customHeight="1" thickBot="1">
      <c r="C197" s="372" t="s">
        <v>177</v>
      </c>
      <c r="D197" s="301"/>
      <c r="E197" s="212"/>
      <c r="F197" s="388" t="str">
        <f>IF(TRESO!C4&lt;&gt;"",TRESO!C4,"")</f>
        <v/>
      </c>
      <c r="G197" s="389" t="s">
        <v>178</v>
      </c>
      <c r="H197" s="390">
        <f>T1_NBLOTS+T2_NBLOTS+T3_NBLOTS+T4_NBLOTS+T5_NBLOTS+T6_NBLOTS</f>
        <v>0</v>
      </c>
      <c r="N197" s="132"/>
      <c r="Q197" s="377" t="s">
        <v>179</v>
      </c>
      <c r="R197" s="373"/>
      <c r="S197" s="130">
        <f>TRESO!N6</f>
        <v>0</v>
      </c>
      <c r="V197" s="372" t="s">
        <v>180</v>
      </c>
      <c r="W197" s="212"/>
      <c r="X197" s="378">
        <f>CAF</f>
        <v>0</v>
      </c>
      <c r="Y197" s="391"/>
      <c r="BF197" s="132"/>
      <c r="BG197" s="138"/>
      <c r="BM197" s="139"/>
    </row>
    <row r="198" spans="1:65" ht="17.100000000000001" customHeight="1" thickBot="1">
      <c r="C198" s="132"/>
      <c r="J198" s="372" t="s">
        <v>219</v>
      </c>
      <c r="K198" s="301"/>
      <c r="L198" s="301"/>
      <c r="M198" s="392">
        <f>AP_MT/PRIX_REVIENT</f>
        <v>0</v>
      </c>
      <c r="N198" s="393"/>
      <c r="BF198" s="132"/>
      <c r="BG198" s="138"/>
      <c r="BM198" s="139"/>
    </row>
    <row r="199" spans="1:65" ht="17.100000000000001" customHeight="1" thickBot="1">
      <c r="C199" s="372" t="s">
        <v>181</v>
      </c>
      <c r="D199" s="394"/>
      <c r="E199" s="388" t="str">
        <f>IF(TRESO!C6&lt;&gt;"",TRESO!C6,"")</f>
        <v/>
      </c>
      <c r="F199" s="395">
        <f>TRESO!D6</f>
        <v>0</v>
      </c>
      <c r="G199" s="388" t="str">
        <f>IF(TRESO!C11&lt;&gt;"",TRESO!C11,"")</f>
        <v/>
      </c>
      <c r="H199" s="395">
        <f>TRESO!D11</f>
        <v>0</v>
      </c>
      <c r="N199" s="132"/>
      <c r="V199" s="372" t="s">
        <v>96</v>
      </c>
      <c r="W199" s="212"/>
      <c r="X199" s="378">
        <f>MARGE</f>
        <v>-6</v>
      </c>
      <c r="Y199" s="391"/>
      <c r="BF199" s="132"/>
      <c r="BG199" s="138"/>
      <c r="BM199" s="139"/>
    </row>
    <row r="200" spans="1:65" ht="17.100000000000001" customHeight="1" thickBot="1">
      <c r="C200" s="131"/>
      <c r="D200" s="285"/>
      <c r="E200" s="388" t="str">
        <f>IF(TRESO!C7&lt;&gt;"",TRESO!C7,"")</f>
        <v/>
      </c>
      <c r="F200" s="395">
        <f>TRESO!D7</f>
        <v>0</v>
      </c>
      <c r="G200" s="388" t="str">
        <f>IF(TRESO!C12&lt;&gt;"",TRESO!C12,"")</f>
        <v/>
      </c>
      <c r="H200" s="395">
        <f>TRESO!D12</f>
        <v>0</v>
      </c>
      <c r="J200" s="372" t="s">
        <v>220</v>
      </c>
      <c r="K200" s="301"/>
      <c r="L200" s="301"/>
      <c r="M200" s="396" t="str">
        <f>IF(AP_MT &lt;&gt; 0,IF(ISERROR(IRR(RENTABILITE,0.1/12)*12)= TRUE,"",IRR(RENTABILITE,0.1/12)*12),"")</f>
        <v/>
      </c>
      <c r="N200" s="397"/>
      <c r="Q200" s="372" t="s">
        <v>182</v>
      </c>
      <c r="R200" s="212"/>
      <c r="S200" s="398" t="e">
        <f ca="1">MIN(TRESO_APRES)</f>
        <v>#VALUE!</v>
      </c>
      <c r="T200" s="399"/>
      <c r="BF200" s="132"/>
      <c r="BG200" s="138"/>
      <c r="BM200" s="139"/>
    </row>
    <row r="201" spans="1:65" ht="17.100000000000001" customHeight="1" thickBot="1">
      <c r="C201" s="132"/>
      <c r="E201" s="388" t="str">
        <f>IF(TRESO!C8&lt;&gt;"",TRESO!C8,"")</f>
        <v/>
      </c>
      <c r="F201" s="395">
        <f>TRESO!D8</f>
        <v>0</v>
      </c>
      <c r="G201" s="388" t="str">
        <f>IF(TRESO!C13&lt;&gt;"",TRESO!C13,"")</f>
        <v/>
      </c>
      <c r="H201" s="395">
        <f>TRESO!D13</f>
        <v>0</v>
      </c>
      <c r="J201" s="372" t="s">
        <v>214</v>
      </c>
      <c r="K201" s="301"/>
      <c r="L201" s="301"/>
      <c r="M201" s="396" t="str">
        <f ca="1">IF(ISERROR(IRR(RENTABILITE2,0.1/12)*12)= TRUE,"",IRR(RENTABILITE2,0.1/12)*12)</f>
        <v/>
      </c>
      <c r="N201" s="400"/>
      <c r="V201" s="372" t="s">
        <v>183</v>
      </c>
      <c r="W201" s="212"/>
      <c r="X201" s="392" t="e">
        <f>MARGE/(ROUND(T1_CAF/(1+T1_CAF_TX_TVA),0)+ROUND(T2_CAF/(1+T2_CAF_TX_TVA),0)+ROUND(T3_CAF/(1+T3_CAF_TX_TVA),0)+ROUND(T4_CAF/(1+T4_CAF_TX_TVA),0)+ROUND(T5_CAF/(1+T5_CAF_TX_TVA),0)+ROUND(T6_CAF/(1+T6_CAF_TX_TVA),0))</f>
        <v>#DIV/0!</v>
      </c>
      <c r="Y201" s="391"/>
      <c r="BF201" s="132"/>
      <c r="BG201" s="138"/>
      <c r="BM201" s="139"/>
    </row>
    <row r="202" spans="1:65" ht="17.100000000000001" customHeight="1">
      <c r="C202" s="132"/>
      <c r="E202" s="388" t="str">
        <f>IF(TRESO!C9&lt;&gt;"",TRESO!C9,"")</f>
        <v/>
      </c>
      <c r="F202" s="395">
        <f>TRESO!D9</f>
        <v>0</v>
      </c>
      <c r="G202" s="388" t="str">
        <f>IF(TRESO!C14&lt;&gt;"",TRESO!C14,"")</f>
        <v/>
      </c>
      <c r="H202" s="395">
        <f>TRESO!D14</f>
        <v>0</v>
      </c>
      <c r="N202" s="132"/>
      <c r="Y202" s="401"/>
      <c r="AD202" s="402"/>
      <c r="BF202" s="132"/>
      <c r="BG202" s="138"/>
      <c r="BM202" s="139"/>
    </row>
    <row r="203" spans="1:65" ht="17.100000000000001" customHeight="1">
      <c r="C203" s="132"/>
      <c r="E203" s="388" t="str">
        <f>IF(TRESO!C10&lt;&gt;"",TRESO!C10,"")</f>
        <v/>
      </c>
      <c r="F203" s="395">
        <f>TRESO!D10</f>
        <v>0</v>
      </c>
      <c r="G203" s="388" t="str">
        <f>IF(TRESO!C15&lt;&gt;"",TRESO!C15,"")</f>
        <v/>
      </c>
      <c r="H203" s="395">
        <f>TRESO!D15</f>
        <v>0</v>
      </c>
      <c r="N203" s="1215" t="e">
        <f>#NULL!</f>
        <v>#NULL!</v>
      </c>
      <c r="O203" s="1215"/>
      <c r="P203" s="1215"/>
      <c r="Q203" s="1215"/>
      <c r="Y203" s="401"/>
      <c r="AD203" s="402"/>
      <c r="BF203" s="132"/>
      <c r="BG203" s="138"/>
      <c r="BM203" s="139"/>
    </row>
    <row r="204" spans="1:65" ht="16.5" customHeight="1">
      <c r="C204" s="132"/>
      <c r="I204" s="403"/>
      <c r="N204" s="132"/>
      <c r="S204" s="404"/>
      <c r="Y204" s="401"/>
      <c r="AD204" s="402"/>
      <c r="BF204" s="132"/>
      <c r="BG204" s="138"/>
      <c r="BM204" s="139"/>
    </row>
    <row r="205" spans="1:65" ht="0.75" customHeight="1" thickBot="1">
      <c r="C205" s="132"/>
      <c r="D205" s="138"/>
      <c r="E205" s="138"/>
      <c r="F205" s="138">
        <f t="shared" ref="F205:O205" si="160">E205+$D$190</f>
        <v>6</v>
      </c>
      <c r="G205" s="138">
        <f t="shared" si="160"/>
        <v>12</v>
      </c>
      <c r="H205" s="138">
        <f t="shared" si="160"/>
        <v>18</v>
      </c>
      <c r="I205" s="138">
        <f t="shared" si="160"/>
        <v>24</v>
      </c>
      <c r="J205" s="138">
        <f t="shared" si="160"/>
        <v>30</v>
      </c>
      <c r="K205" s="138">
        <f t="shared" si="160"/>
        <v>36</v>
      </c>
      <c r="L205" s="138">
        <f t="shared" si="160"/>
        <v>42</v>
      </c>
      <c r="M205" s="138">
        <f t="shared" si="160"/>
        <v>48</v>
      </c>
      <c r="N205" s="138">
        <f t="shared" si="160"/>
        <v>54</v>
      </c>
      <c r="O205" s="138">
        <f t="shared" si="160"/>
        <v>60</v>
      </c>
      <c r="P205" s="138">
        <f t="shared" ref="P205:Y205" si="161">O205+$D$190</f>
        <v>66</v>
      </c>
      <c r="Q205" s="138">
        <f t="shared" si="161"/>
        <v>72</v>
      </c>
      <c r="R205" s="138">
        <f t="shared" si="161"/>
        <v>78</v>
      </c>
      <c r="S205" s="138">
        <f t="shared" si="161"/>
        <v>84</v>
      </c>
      <c r="T205" s="138">
        <f t="shared" si="161"/>
        <v>90</v>
      </c>
      <c r="U205" s="138">
        <f t="shared" si="161"/>
        <v>96</v>
      </c>
      <c r="V205" s="138">
        <f t="shared" si="161"/>
        <v>102</v>
      </c>
      <c r="W205" s="138">
        <f t="shared" si="161"/>
        <v>108</v>
      </c>
      <c r="X205" s="138">
        <f t="shared" si="161"/>
        <v>114</v>
      </c>
      <c r="Y205" s="138">
        <f t="shared" si="161"/>
        <v>120</v>
      </c>
      <c r="BF205" s="132"/>
      <c r="BG205" s="132"/>
      <c r="BH205" s="132"/>
      <c r="BI205" s="132"/>
      <c r="BJ205" s="132"/>
      <c r="BK205" s="132"/>
      <c r="BL205" s="132"/>
    </row>
    <row r="206" spans="1:65" ht="13.5" customHeight="1" thickBot="1">
      <c r="A206" s="405" t="s">
        <v>184</v>
      </c>
      <c r="B206" s="405" t="s">
        <v>185</v>
      </c>
      <c r="C206" s="406"/>
      <c r="D206" s="407"/>
      <c r="E206" s="408" t="s">
        <v>186</v>
      </c>
      <c r="F206" s="406" t="e">
        <f t="shared" ref="F206:O206" ca="1" si="162">OFFSET(DATES_1er,0,F$205+DEC_DATE-1)</f>
        <v>#VALUE!</v>
      </c>
      <c r="G206" s="406" t="e">
        <f t="shared" ca="1" si="162"/>
        <v>#VALUE!</v>
      </c>
      <c r="H206" s="406" t="e">
        <f t="shared" ca="1" si="162"/>
        <v>#VALUE!</v>
      </c>
      <c r="I206" s="406" t="e">
        <f t="shared" ca="1" si="162"/>
        <v>#VALUE!</v>
      </c>
      <c r="J206" s="406" t="e">
        <f t="shared" ca="1" si="162"/>
        <v>#VALUE!</v>
      </c>
      <c r="K206" s="406" t="e">
        <f t="shared" ca="1" si="162"/>
        <v>#VALUE!</v>
      </c>
      <c r="L206" s="406" t="e">
        <f t="shared" ca="1" si="162"/>
        <v>#VALUE!</v>
      </c>
      <c r="M206" s="406" t="e">
        <f t="shared" ca="1" si="162"/>
        <v>#VALUE!</v>
      </c>
      <c r="N206" s="406" t="e">
        <f t="shared" ca="1" si="162"/>
        <v>#VALUE!</v>
      </c>
      <c r="O206" s="406" t="e">
        <f t="shared" ca="1" si="162"/>
        <v>#VALUE!</v>
      </c>
      <c r="P206" s="406" t="e">
        <f t="shared" ref="P206:Y206" ca="1" si="163">OFFSET(DATES_1er,0,P$205+DEC_DATE-1)</f>
        <v>#VALUE!</v>
      </c>
      <c r="Q206" s="406" t="e">
        <f t="shared" ca="1" si="163"/>
        <v>#VALUE!</v>
      </c>
      <c r="R206" s="406" t="e">
        <f t="shared" ca="1" si="163"/>
        <v>#VALUE!</v>
      </c>
      <c r="S206" s="406" t="e">
        <f t="shared" ca="1" si="163"/>
        <v>#VALUE!</v>
      </c>
      <c r="T206" s="406" t="e">
        <f t="shared" ca="1" si="163"/>
        <v>#VALUE!</v>
      </c>
      <c r="U206" s="406" t="e">
        <f t="shared" ca="1" si="163"/>
        <v>#VALUE!</v>
      </c>
      <c r="V206" s="406" t="e">
        <f t="shared" ca="1" si="163"/>
        <v>#VALUE!</v>
      </c>
      <c r="W206" s="406" t="e">
        <f t="shared" ca="1" si="163"/>
        <v>#VALUE!</v>
      </c>
      <c r="X206" s="406" t="e">
        <f t="shared" ca="1" si="163"/>
        <v>#VALUE!</v>
      </c>
      <c r="Y206" s="409" t="e">
        <f t="shared" ca="1" si="163"/>
        <v>#VALUE!</v>
      </c>
      <c r="AD206" s="183"/>
      <c r="BF206" s="132"/>
      <c r="BG206" s="132"/>
      <c r="BH206" s="132"/>
      <c r="BI206" s="132"/>
      <c r="BJ206" s="132"/>
      <c r="BK206" s="132"/>
      <c r="BL206" s="132"/>
    </row>
    <row r="207" spans="1:65">
      <c r="A207" s="410">
        <f>ROW(CHARG_FONC)</f>
        <v>5</v>
      </c>
      <c r="B207" s="410">
        <f>ROW(CHARG_FONC)+8</f>
        <v>13</v>
      </c>
      <c r="C207" s="174" t="s">
        <v>187</v>
      </c>
      <c r="D207" s="285"/>
      <c r="E207" s="411">
        <f ca="1">ROUND(SUM(OFFSET(BUDGETS_TTC,$A207-ROW(BUDGETS_TTC),0):OFFSET(BUDGETS_TTC,$B207-ROW(BUDGETS_TTC),0)),0)</f>
        <v>0</v>
      </c>
      <c r="F207" s="412" t="e">
        <f ca="1">SUM(OFFSET(DATES_1er,$A207-$D$189,F$205+DEC_DATE-1):OFFSET(DATES_1er,$B207-$D$189,F$205+DEC_DATE-1))</f>
        <v>#VALUE!</v>
      </c>
      <c r="G207" s="412" t="e">
        <f ca="1">SUM(OFFSET(DATES_1er,$A207-$D$189,G$205+DEC_DATE-1):OFFSET(DATES_1er,$B207-$D$189,G$205+DEC_DATE-1))</f>
        <v>#VALUE!</v>
      </c>
      <c r="H207" s="412" t="e">
        <f ca="1">SUM(OFFSET(DATES_1er,$A207-$D$189,H$205+DEC_DATE-1):OFFSET(DATES_1er,$B207-$D$189,H$205+DEC_DATE-1))</f>
        <v>#VALUE!</v>
      </c>
      <c r="I207" s="412" t="e">
        <f ca="1">SUM(OFFSET(DATES_1er,$A207-$D$189,I$205+DEC_DATE-1):OFFSET(DATES_1er,$B207-$D$189,I$205+DEC_DATE-1))</f>
        <v>#VALUE!</v>
      </c>
      <c r="J207" s="412" t="e">
        <f ca="1">SUM(OFFSET(DATES_1er,$A207-$D$189,J$205+DEC_DATE-1):OFFSET(DATES_1er,$B207-$D$189,J$205+DEC_DATE-1))</f>
        <v>#VALUE!</v>
      </c>
      <c r="K207" s="412" t="e">
        <f ca="1">SUM(OFFSET(DATES_1er,$A207-$D$189,K$205+DEC_DATE-1):OFFSET(DATES_1er,$B207-$D$189,K$205+DEC_DATE-1))</f>
        <v>#VALUE!</v>
      </c>
      <c r="L207" s="412" t="e">
        <f ca="1">SUM(OFFSET(DATES_1er,$A207-$D$189,L$205+DEC_DATE-1):OFFSET(DATES_1er,$B207-$D$189,L$205+DEC_DATE-1))</f>
        <v>#VALUE!</v>
      </c>
      <c r="M207" s="412" t="e">
        <f ca="1">SUM(OFFSET(DATES_1er,$A207-$D$189,M$205+DEC_DATE-1):OFFSET(DATES_1er,$B207-$D$189,M$205+DEC_DATE-1))</f>
        <v>#VALUE!</v>
      </c>
      <c r="N207" s="412" t="e">
        <f ca="1">SUM(OFFSET(DATES_1er,$A207-$D$189,N$205+DEC_DATE-1):OFFSET(DATES_1er,$B207-$D$189,N$205+DEC_DATE-1))</f>
        <v>#VALUE!</v>
      </c>
      <c r="O207" s="412" t="e">
        <f ca="1">SUM(OFFSET(DATES_1er,$A207-$D$189,O$205+DEC_DATE-1):OFFSET(DATES_1er,$B207-$D$189,O$205+DEC_DATE-1))</f>
        <v>#VALUE!</v>
      </c>
      <c r="P207" s="412" t="e">
        <f ca="1">SUM(OFFSET(DATES_1er,$A207-$D$189,P$205+DEC_DATE-1):OFFSET(DATES_1er,$B207-$D$189,P$205+DEC_DATE-1))</f>
        <v>#VALUE!</v>
      </c>
      <c r="Q207" s="412" t="e">
        <f ca="1">SUM(OFFSET(DATES_1er,$A207-$D$189,Q$205+DEC_DATE-1):OFFSET(DATES_1er,$B207-$D$189,Q$205+DEC_DATE-1))</f>
        <v>#VALUE!</v>
      </c>
      <c r="R207" s="412" t="e">
        <f ca="1">SUM(OFFSET(DATES_1er,$A207-$D$189,R$205+DEC_DATE-1):OFFSET(DATES_1er,$B207-$D$189,R$205+DEC_DATE-1))</f>
        <v>#VALUE!</v>
      </c>
      <c r="S207" s="412" t="e">
        <f ca="1">SUM(OFFSET(DATES_1er,$A207-$D$189,S$205+DEC_DATE-1):OFFSET(DATES_1er,$B207-$D$189,S$205+DEC_DATE-1))</f>
        <v>#VALUE!</v>
      </c>
      <c r="T207" s="412" t="e">
        <f ca="1">SUM(OFFSET(DATES_1er,$A207-$D$189,T$205+DEC_DATE-1):OFFSET(DATES_1er,$B207-$D$189,T$205+DEC_DATE-1))</f>
        <v>#VALUE!</v>
      </c>
      <c r="U207" s="412" t="e">
        <f ca="1">SUM(OFFSET(DATES_1er,$A207-$D$189,U$205+DEC_DATE-1):OFFSET(DATES_1er,$B207-$D$189,U$205+DEC_DATE-1))</f>
        <v>#VALUE!</v>
      </c>
      <c r="V207" s="412" t="e">
        <f ca="1">SUM(OFFSET(DATES_1er,$A207-$D$189,V$205+DEC_DATE-1):OFFSET(DATES_1er,$B207-$D$189,V$205+DEC_DATE-1))</f>
        <v>#VALUE!</v>
      </c>
      <c r="W207" s="412" t="e">
        <f ca="1">SUM(OFFSET(DATES_1er,$A207-$D$189,W$205+DEC_DATE-1):OFFSET(DATES_1er,$B207-$D$189,W$205+DEC_DATE-1))</f>
        <v>#VALUE!</v>
      </c>
      <c r="X207" s="412" t="e">
        <f ca="1">SUM(OFFSET(DATES_1er,$A207-$D$189,X$205+DEC_DATE-1):OFFSET(DATES_1er,$B207-$D$189,X$205+DEC_DATE-1))</f>
        <v>#VALUE!</v>
      </c>
      <c r="Y207" s="842" t="e">
        <f ca="1">SUM(OFFSET(DATES_1er,$A207-$D$189,Y$205+DEC_DATE-1):OFFSET(DATES_1er,$B207-$D$189,Y$205+DEC_DATE-1))</f>
        <v>#VALUE!</v>
      </c>
      <c r="BF207" s="132"/>
      <c r="BG207" s="132"/>
      <c r="BH207" s="132"/>
      <c r="BI207" s="132"/>
      <c r="BJ207" s="132"/>
      <c r="BK207" s="132"/>
      <c r="BL207" s="132"/>
    </row>
    <row r="208" spans="1:65">
      <c r="A208" s="413">
        <f>ROW(REDEVANCES)</f>
        <v>15</v>
      </c>
      <c r="B208" s="413">
        <f>ROW(REDEVANCES)+5</f>
        <v>20</v>
      </c>
      <c r="C208" s="174" t="s">
        <v>188</v>
      </c>
      <c r="D208" s="285"/>
      <c r="E208" s="411">
        <f ca="1">ROUND(SUM(OFFSET(BUDGETS_TTC,$A208-ROW(BUDGETS_TTC),0):OFFSET(BUDGETS_TTC,$B208-ROW(BUDGETS_TTC),0)),0)</f>
        <v>0</v>
      </c>
      <c r="F208" s="412" t="e">
        <f ca="1">SUM(OFFSET(DATES_1er,$A208-$D$189,F$205+DEC_DATE-1):OFFSET(DATES_1er,$B208-$D$189,F$205+DEC_DATE-1))</f>
        <v>#VALUE!</v>
      </c>
      <c r="G208" s="412" t="e">
        <f ca="1">SUM(OFFSET(DATES_1er,$A208-$D$189,G$205+DEC_DATE-1):OFFSET(DATES_1er,$B208-$D$189,G$205+DEC_DATE-1))</f>
        <v>#VALUE!</v>
      </c>
      <c r="H208" s="412" t="e">
        <f ca="1">SUM(OFFSET(DATES_1er,$A208-$D$189,H$205+DEC_DATE-1):OFFSET(DATES_1er,$B208-$D$189,H$205+DEC_DATE-1))</f>
        <v>#VALUE!</v>
      </c>
      <c r="I208" s="412" t="e">
        <f ca="1">SUM(OFFSET(DATES_1er,$A208-$D$189,I$205+DEC_DATE-1):OFFSET(DATES_1er,$B208-$D$189,I$205+DEC_DATE-1))</f>
        <v>#VALUE!</v>
      </c>
      <c r="J208" s="412" t="e">
        <f ca="1">SUM(OFFSET(DATES_1er,$A208-$D$189,J$205+DEC_DATE-1):OFFSET(DATES_1er,$B208-$D$189,J$205+DEC_DATE-1))</f>
        <v>#VALUE!</v>
      </c>
      <c r="K208" s="412" t="e">
        <f ca="1">SUM(OFFSET(DATES_1er,$A208-$D$189,K$205+DEC_DATE-1):OFFSET(DATES_1er,$B208-$D$189,K$205+DEC_DATE-1))</f>
        <v>#VALUE!</v>
      </c>
      <c r="L208" s="412" t="e">
        <f ca="1">SUM(OFFSET(DATES_1er,$A208-$D$189,L$205+DEC_DATE-1):OFFSET(DATES_1er,$B208-$D$189,L$205+DEC_DATE-1))</f>
        <v>#VALUE!</v>
      </c>
      <c r="M208" s="412" t="e">
        <f ca="1">SUM(OFFSET(DATES_1er,$A208-$D$189,M$205+DEC_DATE-1):OFFSET(DATES_1er,$B208-$D$189,M$205+DEC_DATE-1))</f>
        <v>#VALUE!</v>
      </c>
      <c r="N208" s="412" t="e">
        <f ca="1">SUM(OFFSET(DATES_1er,$A208-$D$189,N$205+DEC_DATE-1):OFFSET(DATES_1er,$B208-$D$189,N$205+DEC_DATE-1))</f>
        <v>#VALUE!</v>
      </c>
      <c r="O208" s="412" t="e">
        <f ca="1">SUM(OFFSET(DATES_1er,$A208-$D$189,O$205+DEC_DATE-1):OFFSET(DATES_1er,$B208-$D$189,O$205+DEC_DATE-1))</f>
        <v>#VALUE!</v>
      </c>
      <c r="P208" s="412" t="e">
        <f ca="1">SUM(OFFSET(DATES_1er,$A208-$D$189,P$205+DEC_DATE-1):OFFSET(DATES_1er,$B208-$D$189,P$205+DEC_DATE-1))</f>
        <v>#VALUE!</v>
      </c>
      <c r="Q208" s="412" t="e">
        <f ca="1">SUM(OFFSET(DATES_1er,$A208-$D$189,Q$205+DEC_DATE-1):OFFSET(DATES_1er,$B208-$D$189,Q$205+DEC_DATE-1))</f>
        <v>#VALUE!</v>
      </c>
      <c r="R208" s="412" t="e">
        <f ca="1">SUM(OFFSET(DATES_1er,$A208-$D$189,R$205+DEC_DATE-1):OFFSET(DATES_1er,$B208-$D$189,R$205+DEC_DATE-1))</f>
        <v>#VALUE!</v>
      </c>
      <c r="S208" s="412" t="e">
        <f ca="1">SUM(OFFSET(DATES_1er,$A208-$D$189,S$205+DEC_DATE-1):OFFSET(DATES_1er,$B208-$D$189,S$205+DEC_DATE-1))</f>
        <v>#VALUE!</v>
      </c>
      <c r="T208" s="412" t="e">
        <f ca="1">SUM(OFFSET(DATES_1er,$A208-$D$189,T$205+DEC_DATE-1):OFFSET(DATES_1er,$B208-$D$189,T$205+DEC_DATE-1))</f>
        <v>#VALUE!</v>
      </c>
      <c r="U208" s="412" t="e">
        <f ca="1">SUM(OFFSET(DATES_1er,$A208-$D$189,U$205+DEC_DATE-1):OFFSET(DATES_1er,$B208-$D$189,U$205+DEC_DATE-1))</f>
        <v>#VALUE!</v>
      </c>
      <c r="V208" s="412" t="e">
        <f ca="1">SUM(OFFSET(DATES_1er,$A208-$D$189,V$205+DEC_DATE-1):OFFSET(DATES_1er,$B208-$D$189,V$205+DEC_DATE-1))</f>
        <v>#VALUE!</v>
      </c>
      <c r="W208" s="412" t="e">
        <f ca="1">SUM(OFFSET(DATES_1er,$A208-$D$189,W$205+DEC_DATE-1):OFFSET(DATES_1er,$B208-$D$189,W$205+DEC_DATE-1))</f>
        <v>#VALUE!</v>
      </c>
      <c r="X208" s="412" t="e">
        <f ca="1">SUM(OFFSET(DATES_1er,$A208-$D$189,X$205+DEC_DATE-1):OFFSET(DATES_1er,$B208-$D$189,X$205+DEC_DATE-1))</f>
        <v>#VALUE!</v>
      </c>
      <c r="Y208" s="168" t="e">
        <f ca="1">SUM(OFFSET(DATES_1er,$A208-$D$189,Y$205+DEC_DATE-1):OFFSET(DATES_1er,$B208-$D$189,Y$205+DEC_DATE-1))</f>
        <v>#VALUE!</v>
      </c>
      <c r="BF208" s="132"/>
      <c r="BG208" s="132"/>
      <c r="BH208" s="132"/>
      <c r="BI208" s="132"/>
      <c r="BJ208" s="132"/>
      <c r="BK208" s="132"/>
      <c r="BL208" s="132"/>
    </row>
    <row r="209" spans="1:64">
      <c r="A209" s="413">
        <f>ROW(VRD)</f>
        <v>22</v>
      </c>
      <c r="B209" s="413">
        <f>ROW(VRD)+4</f>
        <v>26</v>
      </c>
      <c r="C209" s="174" t="s">
        <v>18</v>
      </c>
      <c r="D209" s="285"/>
      <c r="E209" s="411">
        <f ca="1">ROUND(SUM(OFFSET(BUDGETS_TTC,$A209-ROW(BUDGETS_TTC),0):OFFSET(BUDGETS_TTC,$B209-ROW(BUDGETS_TTC),0)),0)</f>
        <v>0</v>
      </c>
      <c r="F209" s="412" t="e">
        <f ca="1">SUM(OFFSET(DATES_1er,$A209-$D$189,F$205+DEC_DATE-1):OFFSET(DATES_1er,$B209-$D$189,F$205+DEC_DATE-1))</f>
        <v>#VALUE!</v>
      </c>
      <c r="G209" s="412" t="e">
        <f ca="1">SUM(OFFSET(DATES_1er,$A209-$D$189,G$205+DEC_DATE-1):OFFSET(DATES_1er,$B209-$D$189,G$205+DEC_DATE-1))</f>
        <v>#VALUE!</v>
      </c>
      <c r="H209" s="412" t="e">
        <f ca="1">SUM(OFFSET(DATES_1er,$A209-$D$189,H$205+DEC_DATE-1):OFFSET(DATES_1er,$B209-$D$189,H$205+DEC_DATE-1))</f>
        <v>#VALUE!</v>
      </c>
      <c r="I209" s="412" t="e">
        <f ca="1">SUM(OFFSET(DATES_1er,$A209-$D$189,I$205+DEC_DATE-1):OFFSET(DATES_1er,$B209-$D$189,I$205+DEC_DATE-1))</f>
        <v>#VALUE!</v>
      </c>
      <c r="J209" s="412" t="e">
        <f ca="1">SUM(OFFSET(DATES_1er,$A209-$D$189,J$205+DEC_DATE-1):OFFSET(DATES_1er,$B209-$D$189,J$205+DEC_DATE-1))</f>
        <v>#VALUE!</v>
      </c>
      <c r="K209" s="412" t="e">
        <f ca="1">SUM(OFFSET(DATES_1er,$A209-$D$189,K$205+DEC_DATE-1):OFFSET(DATES_1er,$B209-$D$189,K$205+DEC_DATE-1))</f>
        <v>#VALUE!</v>
      </c>
      <c r="L209" s="412" t="e">
        <f ca="1">SUM(OFFSET(DATES_1er,$A209-$D$189,L$205+DEC_DATE-1):OFFSET(DATES_1er,$B209-$D$189,L$205+DEC_DATE-1))</f>
        <v>#VALUE!</v>
      </c>
      <c r="M209" s="412" t="e">
        <f ca="1">SUM(OFFSET(DATES_1er,$A209-$D$189,M$205+DEC_DATE-1):OFFSET(DATES_1er,$B209-$D$189,M$205+DEC_DATE-1))</f>
        <v>#VALUE!</v>
      </c>
      <c r="N209" s="412" t="e">
        <f ca="1">SUM(OFFSET(DATES_1er,$A209-$D$189,N$205+DEC_DATE-1):OFFSET(DATES_1er,$B209-$D$189,N$205+DEC_DATE-1))</f>
        <v>#VALUE!</v>
      </c>
      <c r="O209" s="412" t="e">
        <f ca="1">SUM(OFFSET(DATES_1er,$A209-$D$189,O$205+DEC_DATE-1):OFFSET(DATES_1er,$B209-$D$189,O$205+DEC_DATE-1))</f>
        <v>#VALUE!</v>
      </c>
      <c r="P209" s="412" t="e">
        <f ca="1">SUM(OFFSET(DATES_1er,$A209-$D$189,P$205+DEC_DATE-1):OFFSET(DATES_1er,$B209-$D$189,P$205+DEC_DATE-1))</f>
        <v>#VALUE!</v>
      </c>
      <c r="Q209" s="412" t="e">
        <f ca="1">SUM(OFFSET(DATES_1er,$A209-$D$189,Q$205+DEC_DATE-1):OFFSET(DATES_1er,$B209-$D$189,Q$205+DEC_DATE-1))</f>
        <v>#VALUE!</v>
      </c>
      <c r="R209" s="412" t="e">
        <f ca="1">SUM(OFFSET(DATES_1er,$A209-$D$189,R$205+DEC_DATE-1):OFFSET(DATES_1er,$B209-$D$189,R$205+DEC_DATE-1))</f>
        <v>#VALUE!</v>
      </c>
      <c r="S209" s="412" t="e">
        <f ca="1">SUM(OFFSET(DATES_1er,$A209-$D$189,S$205+DEC_DATE-1):OFFSET(DATES_1er,$B209-$D$189,S$205+DEC_DATE-1))</f>
        <v>#VALUE!</v>
      </c>
      <c r="T209" s="412" t="e">
        <f ca="1">SUM(OFFSET(DATES_1er,$A209-$D$189,T$205+DEC_DATE-1):OFFSET(DATES_1er,$B209-$D$189,T$205+DEC_DATE-1))</f>
        <v>#VALUE!</v>
      </c>
      <c r="U209" s="412" t="e">
        <f ca="1">SUM(OFFSET(DATES_1er,$A209-$D$189,U$205+DEC_DATE-1):OFFSET(DATES_1er,$B209-$D$189,U$205+DEC_DATE-1))</f>
        <v>#VALUE!</v>
      </c>
      <c r="V209" s="412" t="e">
        <f ca="1">SUM(OFFSET(DATES_1er,$A209-$D$189,V$205+DEC_DATE-1):OFFSET(DATES_1er,$B209-$D$189,V$205+DEC_DATE-1))</f>
        <v>#VALUE!</v>
      </c>
      <c r="W209" s="412" t="e">
        <f ca="1">SUM(OFFSET(DATES_1er,$A209-$D$189,W$205+DEC_DATE-1):OFFSET(DATES_1er,$B209-$D$189,W$205+DEC_DATE-1))</f>
        <v>#VALUE!</v>
      </c>
      <c r="X209" s="412" t="e">
        <f ca="1">SUM(OFFSET(DATES_1er,$A209-$D$189,X$205+DEC_DATE-1):OFFSET(DATES_1er,$B209-$D$189,X$205+DEC_DATE-1))</f>
        <v>#VALUE!</v>
      </c>
      <c r="Y209" s="168" t="e">
        <f ca="1">SUM(OFFSET(DATES_1er,$A209-$D$189,Y$205+DEC_DATE-1):OFFSET(DATES_1er,$B209-$D$189,Y$205+DEC_DATE-1))</f>
        <v>#VALUE!</v>
      </c>
      <c r="BF209" s="132"/>
      <c r="BG209" s="132"/>
      <c r="BH209" s="132"/>
      <c r="BI209" s="132"/>
      <c r="BJ209" s="132"/>
      <c r="BK209" s="132"/>
      <c r="BL209" s="132"/>
    </row>
    <row r="210" spans="1:64">
      <c r="A210" s="413">
        <f>ROW(CONSTRUCTION)</f>
        <v>31</v>
      </c>
      <c r="B210" s="413">
        <f>ROW(CONSTRUCTION)+35</f>
        <v>66</v>
      </c>
      <c r="C210" s="174" t="s">
        <v>472</v>
      </c>
      <c r="D210" s="285"/>
      <c r="E210" s="411">
        <f ca="1">ROUND(SUM(OFFSET(BUDGETS_TTC,$A210-ROW(BUDGETS_TTC),0):OFFSET(BUDGETS_TTC,$B210-ROW(BUDGETS_TTC),0))+SUM(OFFSET(BUDGETS_TTC,$A211-ROW(BUDGETS_TTC),0):OFFSET(BUDGETS_TTC,$B211-ROW(BUDGETS_TTC),0)),0)</f>
        <v>0</v>
      </c>
      <c r="F210" s="412" t="e">
        <f ca="1">SUM(OFFSET(DATES_1er,$A210-$D$189,F$205+DEC_DATE-1):OFFSET(DATES_1er,$B210-$D$189,F$205+DEC_DATE-1))+SUM(OFFSET(DATES_1er,$A211-$D$189,F$205+DEC_DATE-1):OFFSET(DATES_1er,$B211-$D$189,F$205+DEC_DATE-1))</f>
        <v>#VALUE!</v>
      </c>
      <c r="G210" s="412" t="e">
        <f ca="1">SUM(OFFSET(DATES_1er,$A210-$D$189,G$205+DEC_DATE-1):OFFSET(DATES_1er,$B210-$D$189,G$205+DEC_DATE-1))+SUM(OFFSET(DATES_1er,$A211-$D$189,G$205+DEC_DATE-1):OFFSET(DATES_1er,$B211-$D$189,G$205+DEC_DATE-1))</f>
        <v>#VALUE!</v>
      </c>
      <c r="H210" s="412" t="e">
        <f ca="1">SUM(OFFSET(DATES_1er,$A210-$D$189,H$205+DEC_DATE-1):OFFSET(DATES_1er,$B210-$D$189,H$205+DEC_DATE-1))+SUM(OFFSET(DATES_1er,$A211-$D$189,H$205+DEC_DATE-1):OFFSET(DATES_1er,$B211-$D$189,H$205+DEC_DATE-1))</f>
        <v>#VALUE!</v>
      </c>
      <c r="I210" s="412" t="e">
        <f ca="1">SUM(OFFSET(DATES_1er,$A210-$D$189,I$205+DEC_DATE-1):OFFSET(DATES_1er,$B210-$D$189,I$205+DEC_DATE-1))+SUM(OFFSET(DATES_1er,$A211-$D$189,I$205+DEC_DATE-1):OFFSET(DATES_1er,$B211-$D$189,I$205+DEC_DATE-1))</f>
        <v>#VALUE!</v>
      </c>
      <c r="J210" s="412" t="e">
        <f ca="1">SUM(OFFSET(DATES_1er,$A210-$D$189,J$205+DEC_DATE-1):OFFSET(DATES_1er,$B210-$D$189,J$205+DEC_DATE-1))+SUM(OFFSET(DATES_1er,$A211-$D$189,J$205+DEC_DATE-1):OFFSET(DATES_1er,$B211-$D$189,J$205+DEC_DATE-1))</f>
        <v>#VALUE!</v>
      </c>
      <c r="K210" s="412" t="e">
        <f ca="1">SUM(OFFSET(DATES_1er,$A210-$D$189,K$205+DEC_DATE-1):OFFSET(DATES_1er,$B210-$D$189,K$205+DEC_DATE-1))+SUM(OFFSET(DATES_1er,$A211-$D$189,K$205+DEC_DATE-1):OFFSET(DATES_1er,$B211-$D$189,K$205+DEC_DATE-1))</f>
        <v>#VALUE!</v>
      </c>
      <c r="L210" s="412" t="e">
        <f ca="1">SUM(OFFSET(DATES_1er,$A210-$D$189,L$205+DEC_DATE-1):OFFSET(DATES_1er,$B210-$D$189,L$205+DEC_DATE-1))+SUM(OFFSET(DATES_1er,$A211-$D$189,L$205+DEC_DATE-1):OFFSET(DATES_1er,$B211-$D$189,L$205+DEC_DATE-1))</f>
        <v>#VALUE!</v>
      </c>
      <c r="M210" s="412" t="e">
        <f ca="1">SUM(OFFSET(DATES_1er,$A210-$D$189,M$205+DEC_DATE-1):OFFSET(DATES_1er,$B210-$D$189,M$205+DEC_DATE-1))+SUM(OFFSET(DATES_1er,$A211-$D$189,M$205+DEC_DATE-1):OFFSET(DATES_1er,$B211-$D$189,M$205+DEC_DATE-1))</f>
        <v>#VALUE!</v>
      </c>
      <c r="N210" s="412" t="e">
        <f ca="1">SUM(OFFSET(DATES_1er,$A210-$D$189,N$205+DEC_DATE-1):OFFSET(DATES_1er,$B210-$D$189,N$205+DEC_DATE-1))+SUM(OFFSET(DATES_1er,$A211-$D$189,N$205+DEC_DATE-1):OFFSET(DATES_1er,$B211-$D$189,N$205+DEC_DATE-1))</f>
        <v>#VALUE!</v>
      </c>
      <c r="O210" s="412" t="e">
        <f ca="1">SUM(OFFSET(DATES_1er,$A210-$D$189,O$205+DEC_DATE-1):OFFSET(DATES_1er,$B210-$D$189,O$205+DEC_DATE-1))+SUM(OFFSET(DATES_1er,$A211-$D$189,O$205+DEC_DATE-1):OFFSET(DATES_1er,$B211-$D$189,O$205+DEC_DATE-1))</f>
        <v>#VALUE!</v>
      </c>
      <c r="P210" s="412" t="e">
        <f ca="1">SUM(OFFSET(DATES_1er,$A210-$D$189,P$205+DEC_DATE-1):OFFSET(DATES_1er,$B210-$D$189,P$205+DEC_DATE-1))+SUM(OFFSET(DATES_1er,$A211-$D$189,P$205+DEC_DATE-1):OFFSET(DATES_1er,$B211-$D$189,P$205+DEC_DATE-1))</f>
        <v>#VALUE!</v>
      </c>
      <c r="Q210" s="412" t="e">
        <f ca="1">SUM(OFFSET(DATES_1er,$A210-$D$189,Q$205+DEC_DATE-1):OFFSET(DATES_1er,$B210-$D$189,Q$205+DEC_DATE-1))+SUM(OFFSET(DATES_1er,$A211-$D$189,Q$205+DEC_DATE-1):OFFSET(DATES_1er,$B211-$D$189,Q$205+DEC_DATE-1))</f>
        <v>#VALUE!</v>
      </c>
      <c r="R210" s="412" t="e">
        <f ca="1">SUM(OFFSET(DATES_1er,$A210-$D$189,R$205+DEC_DATE-1):OFFSET(DATES_1er,$B210-$D$189,R$205+DEC_DATE-1))+SUM(OFFSET(DATES_1er,$A211-$D$189,R$205+DEC_DATE-1):OFFSET(DATES_1er,$B211-$D$189,R$205+DEC_DATE-1))</f>
        <v>#VALUE!</v>
      </c>
      <c r="S210" s="412" t="e">
        <f ca="1">SUM(OFFSET(DATES_1er,$A210-$D$189,S$205+DEC_DATE-1):OFFSET(DATES_1er,$B210-$D$189,S$205+DEC_DATE-1))+SUM(OFFSET(DATES_1er,$A211-$D$189,S$205+DEC_DATE-1):OFFSET(DATES_1er,$B211-$D$189,S$205+DEC_DATE-1))</f>
        <v>#VALUE!</v>
      </c>
      <c r="T210" s="412" t="e">
        <f ca="1">SUM(OFFSET(DATES_1er,$A210-$D$189,T$205+DEC_DATE-1):OFFSET(DATES_1er,$B210-$D$189,T$205+DEC_DATE-1))+SUM(OFFSET(DATES_1er,$A211-$D$189,T$205+DEC_DATE-1):OFFSET(DATES_1er,$B211-$D$189,T$205+DEC_DATE-1))</f>
        <v>#VALUE!</v>
      </c>
      <c r="U210" s="412" t="e">
        <f ca="1">SUM(OFFSET(DATES_1er,$A210-$D$189,U$205+DEC_DATE-1):OFFSET(DATES_1er,$B210-$D$189,U$205+DEC_DATE-1))+SUM(OFFSET(DATES_1er,$A211-$D$189,U$205+DEC_DATE-1):OFFSET(DATES_1er,$B211-$D$189,U$205+DEC_DATE-1))</f>
        <v>#VALUE!</v>
      </c>
      <c r="V210" s="412" t="e">
        <f ca="1">SUM(OFFSET(DATES_1er,$A210-$D$189,V$205+DEC_DATE-1):OFFSET(DATES_1er,$B210-$D$189,V$205+DEC_DATE-1))+SUM(OFFSET(DATES_1er,$A211-$D$189,V$205+DEC_DATE-1):OFFSET(DATES_1er,$B211-$D$189,V$205+DEC_DATE-1))</f>
        <v>#VALUE!</v>
      </c>
      <c r="W210" s="412" t="e">
        <f ca="1">SUM(OFFSET(DATES_1er,$A210-$D$189,W$205+DEC_DATE-1):OFFSET(DATES_1er,$B210-$D$189,W$205+DEC_DATE-1))+SUM(OFFSET(DATES_1er,$A211-$D$189,W$205+DEC_DATE-1):OFFSET(DATES_1er,$B211-$D$189,W$205+DEC_DATE-1))</f>
        <v>#VALUE!</v>
      </c>
      <c r="X210" s="412" t="e">
        <f ca="1">SUM(OFFSET(DATES_1er,$A210-$D$189,X$205+DEC_DATE-1):OFFSET(DATES_1er,$B210-$D$189,X$205+DEC_DATE-1))+SUM(OFFSET(DATES_1er,$A211-$D$189,X$205+DEC_DATE-1):OFFSET(DATES_1er,$B211-$D$189,X$205+DEC_DATE-1))</f>
        <v>#VALUE!</v>
      </c>
      <c r="Y210" s="168" t="e">
        <f ca="1">SUM(OFFSET(DATES_1er,$A210-$D$189,Y$205+DEC_DATE-1):OFFSET(DATES_1er,$B210-$D$189,Y$205+DEC_DATE-1))+SUM(OFFSET(DATES_1er,$A211-$D$189,Y$205+DEC_DATE-1):OFFSET(DATES_1er,$B211-$D$189,Y$205+DEC_DATE-1))</f>
        <v>#VALUE!</v>
      </c>
      <c r="BF210" s="132"/>
      <c r="BG210" s="132"/>
      <c r="BH210" s="132"/>
      <c r="BI210" s="132"/>
      <c r="BJ210" s="132"/>
      <c r="BK210" s="132"/>
      <c r="BL210" s="132"/>
    </row>
    <row r="211" spans="1:64">
      <c r="A211" s="413">
        <v>69</v>
      </c>
      <c r="B211" s="413">
        <v>69</v>
      </c>
      <c r="C211" s="174" t="s">
        <v>479</v>
      </c>
      <c r="D211" s="285"/>
      <c r="E211" s="411">
        <f ca="1">ROUND(SUM(OFFSET(BUDGETS_TTC,$A212-ROW(BUDGETS_TTC),0):OFFSET(BUDGETS_TTC,$B212-ROW(BUDGETS_TTC),0))+SUM(OFFSET(BUDGETS_TTC,$A214-ROW(BUDGETS_TTC),0):OFFSET(BUDGETS_TTC,$B214-ROW(BUDGETS_TTC),0))+SUM(OFFSET(BUDGETS_TTC,$A213-ROW(BUDGETS_TTC),0):OFFSET(BUDGETS_TTC,$B213-ROW(BUDGETS_TTC),0)),0)</f>
        <v>0</v>
      </c>
      <c r="F211" s="412" t="e">
        <f ca="1">SUM(OFFSET(DATES_1er,$A212-$D$189,F$205+DEC_DATE-1):OFFSET(DATES_1er,$B212-$D$189,F$205+DEC_DATE-1))+SUM(OFFSET(DATES_1er,$A214-$D$189,F$205+DEC_DATE-1):OFFSET(DATES_1er,$B214-$D$189,F$205+DEC_DATE-1))+SUM(OFFSET(DATES_1er,$A213-$D$189,F$205+DEC_DATE-1):OFFSET(DATES_1er,$B213-$D$189,F$205+DEC_DATE-1))</f>
        <v>#VALUE!</v>
      </c>
      <c r="G211" s="412" t="e">
        <f ca="1">SUM(OFFSET(DATES_1er,$A212-$D$189,G$205+DEC_DATE-1):OFFSET(DATES_1er,$B212-$D$189,G$205+DEC_DATE-1))+SUM(OFFSET(DATES_1er,$A214-$D$189,G$205+DEC_DATE-1):OFFSET(DATES_1er,$B214-$D$189,G$205+DEC_DATE-1))+SUM(OFFSET(DATES_1er,$A213-$D$189,G$205+DEC_DATE-1):OFFSET(DATES_1er,$B213-$D$189,G$205+DEC_DATE-1))</f>
        <v>#VALUE!</v>
      </c>
      <c r="H211" s="412" t="e">
        <f ca="1">SUM(OFFSET(DATES_1er,$A212-$D$189,H$205+DEC_DATE-1):OFFSET(DATES_1er,$B212-$D$189,H$205+DEC_DATE-1))+SUM(OFFSET(DATES_1er,$A214-$D$189,H$205+DEC_DATE-1):OFFSET(DATES_1er,$B214-$D$189,H$205+DEC_DATE-1))+SUM(OFFSET(DATES_1er,$A213-$D$189,H$205+DEC_DATE-1):OFFSET(DATES_1er,$B213-$D$189,H$205+DEC_DATE-1))</f>
        <v>#VALUE!</v>
      </c>
      <c r="I211" s="412" t="e">
        <f ca="1">SUM(OFFSET(DATES_1er,$A212-$D$189,I$205+DEC_DATE-1):OFFSET(DATES_1er,$B212-$D$189,I$205+DEC_DATE-1))+SUM(OFFSET(DATES_1er,$A214-$D$189,I$205+DEC_DATE-1):OFFSET(DATES_1er,$B214-$D$189,I$205+DEC_DATE-1))+SUM(OFFSET(DATES_1er,$A213-$D$189,I$205+DEC_DATE-1):OFFSET(DATES_1er,$B213-$D$189,I$205+DEC_DATE-1))</f>
        <v>#VALUE!</v>
      </c>
      <c r="J211" s="412" t="e">
        <f ca="1">SUM(OFFSET(DATES_1er,$A212-$D$189,J$205+DEC_DATE-1):OFFSET(DATES_1er,$B212-$D$189,J$205+DEC_DATE-1))+SUM(OFFSET(DATES_1er,$A214-$D$189,J$205+DEC_DATE-1):OFFSET(DATES_1er,$B214-$D$189,J$205+DEC_DATE-1))+SUM(OFFSET(DATES_1er,$A213-$D$189,J$205+DEC_DATE-1):OFFSET(DATES_1er,$B213-$D$189,J$205+DEC_DATE-1))</f>
        <v>#VALUE!</v>
      </c>
      <c r="K211" s="412" t="e">
        <f ca="1">SUM(OFFSET(DATES_1er,$A212-$D$189,K$205+DEC_DATE-1):OFFSET(DATES_1er,$B212-$D$189,K$205+DEC_DATE-1))+SUM(OFFSET(DATES_1er,$A214-$D$189,K$205+DEC_DATE-1):OFFSET(DATES_1er,$B214-$D$189,K$205+DEC_DATE-1))+SUM(OFFSET(DATES_1er,$A213-$D$189,K$205+DEC_DATE-1):OFFSET(DATES_1er,$B213-$D$189,K$205+DEC_DATE-1))</f>
        <v>#VALUE!</v>
      </c>
      <c r="L211" s="412" t="e">
        <f ca="1">SUM(OFFSET(DATES_1er,$A212-$D$189,L$205+DEC_DATE-1):OFFSET(DATES_1er,$B212-$D$189,L$205+DEC_DATE-1))+SUM(OFFSET(DATES_1er,$A214-$D$189,L$205+DEC_DATE-1):OFFSET(DATES_1er,$B214-$D$189,L$205+DEC_DATE-1))+SUM(OFFSET(DATES_1er,$A213-$D$189,L$205+DEC_DATE-1):OFFSET(DATES_1er,$B213-$D$189,L$205+DEC_DATE-1))</f>
        <v>#VALUE!</v>
      </c>
      <c r="M211" s="412" t="e">
        <f ca="1">SUM(OFFSET(DATES_1er,$A212-$D$189,M$205+DEC_DATE-1):OFFSET(DATES_1er,$B212-$D$189,M$205+DEC_DATE-1))+SUM(OFFSET(DATES_1er,$A214-$D$189,M$205+DEC_DATE-1):OFFSET(DATES_1er,$B214-$D$189,M$205+DEC_DATE-1))+SUM(OFFSET(DATES_1er,$A213-$D$189,M$205+DEC_DATE-1):OFFSET(DATES_1er,$B213-$D$189,M$205+DEC_DATE-1))</f>
        <v>#VALUE!</v>
      </c>
      <c r="N211" s="412" t="e">
        <f ca="1">SUM(OFFSET(DATES_1er,$A212-$D$189,N$205+DEC_DATE-1):OFFSET(DATES_1er,$B212-$D$189,N$205+DEC_DATE-1))+SUM(OFFSET(DATES_1er,$A214-$D$189,N$205+DEC_DATE-1):OFFSET(DATES_1er,$B214-$D$189,N$205+DEC_DATE-1))+SUM(OFFSET(DATES_1er,$A213-$D$189,N$205+DEC_DATE-1):OFFSET(DATES_1er,$B213-$D$189,N$205+DEC_DATE-1))</f>
        <v>#VALUE!</v>
      </c>
      <c r="O211" s="412" t="e">
        <f ca="1">SUM(OFFSET(DATES_1er,$A212-$D$189,O$205+DEC_DATE-1):OFFSET(DATES_1er,$B212-$D$189,O$205+DEC_DATE-1))+SUM(OFFSET(DATES_1er,$A214-$D$189,O$205+DEC_DATE-1):OFFSET(DATES_1er,$B214-$D$189,O$205+DEC_DATE-1))+SUM(OFFSET(DATES_1er,$A213-$D$189,O$205+DEC_DATE-1):OFFSET(DATES_1er,$B213-$D$189,O$205+DEC_DATE-1))</f>
        <v>#VALUE!</v>
      </c>
      <c r="P211" s="412" t="e">
        <f ca="1">SUM(OFFSET(DATES_1er,$A212-$D$189,P$205+DEC_DATE-1):OFFSET(DATES_1er,$B212-$D$189,P$205+DEC_DATE-1))+SUM(OFFSET(DATES_1er,$A214-$D$189,P$205+DEC_DATE-1):OFFSET(DATES_1er,$B214-$D$189,P$205+DEC_DATE-1))+SUM(OFFSET(DATES_1er,$A213-$D$189,P$205+DEC_DATE-1):OFFSET(DATES_1er,$B213-$D$189,P$205+DEC_DATE-1))</f>
        <v>#VALUE!</v>
      </c>
      <c r="Q211" s="412" t="e">
        <f ca="1">SUM(OFFSET(DATES_1er,$A212-$D$189,Q$205+DEC_DATE-1):OFFSET(DATES_1er,$B212-$D$189,Q$205+DEC_DATE-1))+SUM(OFFSET(DATES_1er,$A214-$D$189,Q$205+DEC_DATE-1):OFFSET(DATES_1er,$B214-$D$189,Q$205+DEC_DATE-1))+SUM(OFFSET(DATES_1er,$A213-$D$189,Q$205+DEC_DATE-1):OFFSET(DATES_1er,$B213-$D$189,Q$205+DEC_DATE-1))</f>
        <v>#VALUE!</v>
      </c>
      <c r="R211" s="412" t="e">
        <f ca="1">SUM(OFFSET(DATES_1er,$A212-$D$189,R$205+DEC_DATE-1):OFFSET(DATES_1er,$B212-$D$189,R$205+DEC_DATE-1))+SUM(OFFSET(DATES_1er,$A214-$D$189,R$205+DEC_DATE-1):OFFSET(DATES_1er,$B214-$D$189,R$205+DEC_DATE-1))+SUM(OFFSET(DATES_1er,$A213-$D$189,R$205+DEC_DATE-1):OFFSET(DATES_1er,$B213-$D$189,R$205+DEC_DATE-1))</f>
        <v>#VALUE!</v>
      </c>
      <c r="S211" s="412" t="e">
        <f ca="1">SUM(OFFSET(DATES_1er,$A212-$D$189,S$205+DEC_DATE-1):OFFSET(DATES_1er,$B212-$D$189,S$205+DEC_DATE-1))+SUM(OFFSET(DATES_1er,$A214-$D$189,S$205+DEC_DATE-1):OFFSET(DATES_1er,$B214-$D$189,S$205+DEC_DATE-1))+SUM(OFFSET(DATES_1er,$A213-$D$189,S$205+DEC_DATE-1):OFFSET(DATES_1er,$B213-$D$189,S$205+DEC_DATE-1))</f>
        <v>#VALUE!</v>
      </c>
      <c r="T211" s="412" t="e">
        <f ca="1">SUM(OFFSET(DATES_1er,$A212-$D$189,T$205+DEC_DATE-1):OFFSET(DATES_1er,$B212-$D$189,T$205+DEC_DATE-1))+SUM(OFFSET(DATES_1er,$A214-$D$189,T$205+DEC_DATE-1):OFFSET(DATES_1er,$B214-$D$189,T$205+DEC_DATE-1))+SUM(OFFSET(DATES_1er,$A213-$D$189,T$205+DEC_DATE-1):OFFSET(DATES_1er,$B213-$D$189,T$205+DEC_DATE-1))</f>
        <v>#VALUE!</v>
      </c>
      <c r="U211" s="412" t="e">
        <f ca="1">SUM(OFFSET(DATES_1er,$A212-$D$189,U$205+DEC_DATE-1):OFFSET(DATES_1er,$B212-$D$189,U$205+DEC_DATE-1))+SUM(OFFSET(DATES_1er,$A214-$D$189,U$205+DEC_DATE-1):OFFSET(DATES_1er,$B214-$D$189,U$205+DEC_DATE-1))+SUM(OFFSET(DATES_1er,$A213-$D$189,U$205+DEC_DATE-1):OFFSET(DATES_1er,$B213-$D$189,U$205+DEC_DATE-1))</f>
        <v>#VALUE!</v>
      </c>
      <c r="V211" s="412" t="e">
        <f ca="1">SUM(OFFSET(DATES_1er,$A212-$D$189,V$205+DEC_DATE-1):OFFSET(DATES_1er,$B212-$D$189,V$205+DEC_DATE-1))+SUM(OFFSET(DATES_1er,$A214-$D$189,V$205+DEC_DATE-1):OFFSET(DATES_1er,$B214-$D$189,V$205+DEC_DATE-1))+SUM(OFFSET(DATES_1er,$A213-$D$189,V$205+DEC_DATE-1):OFFSET(DATES_1er,$B213-$D$189,V$205+DEC_DATE-1))</f>
        <v>#VALUE!</v>
      </c>
      <c r="W211" s="412" t="e">
        <f ca="1">SUM(OFFSET(DATES_1er,$A212-$D$189,W$205+DEC_DATE-1):OFFSET(DATES_1er,$B212-$D$189,W$205+DEC_DATE-1))+SUM(OFFSET(DATES_1er,$A214-$D$189,W$205+DEC_DATE-1):OFFSET(DATES_1er,$B214-$D$189,W$205+DEC_DATE-1))+SUM(OFFSET(DATES_1er,$A213-$D$189,W$205+DEC_DATE-1):OFFSET(DATES_1er,$B213-$D$189,W$205+DEC_DATE-1))</f>
        <v>#VALUE!</v>
      </c>
      <c r="X211" s="412" t="e">
        <f ca="1">SUM(OFFSET(DATES_1er,$A212-$D$189,X$205+DEC_DATE-1):OFFSET(DATES_1er,$B212-$D$189,X$205+DEC_DATE-1))+SUM(OFFSET(DATES_1er,$A214-$D$189,X$205+DEC_DATE-1):OFFSET(DATES_1er,$B214-$D$189,X$205+DEC_DATE-1))+SUM(OFFSET(DATES_1er,$A213-$D$189,X$205+DEC_DATE-1):OFFSET(DATES_1er,$B213-$D$189,X$205+DEC_DATE-1))</f>
        <v>#VALUE!</v>
      </c>
      <c r="Y211" s="168" t="e">
        <f ca="1">SUM(OFFSET(DATES_1er,$A212-$D$189,Y$205+DEC_DATE-1):OFFSET(DATES_1er,$B212-$D$189,Y$205+DEC_DATE-1))+SUM(OFFSET(DATES_1er,$A214-$D$189,Y$205+DEC_DATE-1):OFFSET(DATES_1er,$B214-$D$189,Y$205+DEC_DATE-1))+SUM(OFFSET(DATES_1er,$A213-$D$189,Y$205+DEC_DATE-1):OFFSET(DATES_1er,$B213-$D$189,Y$205+DEC_DATE-1))</f>
        <v>#VALUE!</v>
      </c>
      <c r="BF211" s="132"/>
      <c r="BG211" s="132"/>
      <c r="BH211" s="132"/>
      <c r="BI211" s="132"/>
      <c r="BJ211" s="132"/>
      <c r="BK211" s="132"/>
      <c r="BL211" s="132"/>
    </row>
    <row r="212" spans="1:64">
      <c r="A212" s="413">
        <v>70</v>
      </c>
      <c r="B212" s="413">
        <v>73</v>
      </c>
      <c r="C212" s="174" t="s">
        <v>473</v>
      </c>
      <c r="D212" s="285"/>
      <c r="E212" s="411">
        <f ca="1">ROUND(SUM(OFFSET(BUDGETS_TTC,$A215-ROW(BUDGETS_TTC),0):OFFSET(BUDGETS_TTC,$B215-ROW(BUDGETS_TTC),0))+SUM(OFFSET(BUDGETS_TTC,$A216-ROW(BUDGETS_TTC),0):OFFSET(BUDGETS_TTC,$B216-ROW(BUDGETS_TTC),0)),0)</f>
        <v>0</v>
      </c>
      <c r="F212" s="412" t="e">
        <f ca="1">SUM(OFFSET(DATES_1er,$A216-$D$189,F$205+DEC_DATE-1):OFFSET(DATES_1er,$B216-$D$189,F$205+DEC_DATE-1))+SUM(OFFSET(DATES_1er,$A215-$D$189,F$205+DEC_DATE-1):OFFSET(DATES_1er,$B215-$D$189,F$205+DEC_DATE-1))</f>
        <v>#VALUE!</v>
      </c>
      <c r="G212" s="412" t="e">
        <f ca="1">SUM(OFFSET(DATES_1er,$A216-$D$189,G$205+DEC_DATE-1):OFFSET(DATES_1er,$B216-$D$189,G$205+DEC_DATE-1))+SUM(OFFSET(DATES_1er,$A215-$D$189,G$205+DEC_DATE-1):OFFSET(DATES_1er,$B215-$D$189,G$205+DEC_DATE-1))</f>
        <v>#VALUE!</v>
      </c>
      <c r="H212" s="412" t="e">
        <f ca="1">SUM(OFFSET(DATES_1er,$A216-$D$189,H$205+DEC_DATE-1):OFFSET(DATES_1er,$B216-$D$189,H$205+DEC_DATE-1))+SUM(OFFSET(DATES_1er,$A215-$D$189,H$205+DEC_DATE-1):OFFSET(DATES_1er,$B215-$D$189,H$205+DEC_DATE-1))</f>
        <v>#VALUE!</v>
      </c>
      <c r="I212" s="412" t="e">
        <f ca="1">SUM(OFFSET(DATES_1er,$A216-$D$189,I$205+DEC_DATE-1):OFFSET(DATES_1er,$B216-$D$189,I$205+DEC_DATE-1))+SUM(OFFSET(DATES_1er,$A215-$D$189,I$205+DEC_DATE-1):OFFSET(DATES_1er,$B215-$D$189,I$205+DEC_DATE-1))</f>
        <v>#VALUE!</v>
      </c>
      <c r="J212" s="412" t="e">
        <f ca="1">SUM(OFFSET(DATES_1er,$A216-$D$189,J$205+DEC_DATE-1):OFFSET(DATES_1er,$B216-$D$189,J$205+DEC_DATE-1))+SUM(OFFSET(DATES_1er,$A215-$D$189,J$205+DEC_DATE-1):OFFSET(DATES_1er,$B215-$D$189,J$205+DEC_DATE-1))</f>
        <v>#VALUE!</v>
      </c>
      <c r="K212" s="412" t="e">
        <f ca="1">SUM(OFFSET(DATES_1er,$A216-$D$189,K$205+DEC_DATE-1):OFFSET(DATES_1er,$B216-$D$189,K$205+DEC_DATE-1))+SUM(OFFSET(DATES_1er,$A215-$D$189,K$205+DEC_DATE-1):OFFSET(DATES_1er,$B215-$D$189,K$205+DEC_DATE-1))</f>
        <v>#VALUE!</v>
      </c>
      <c r="L212" s="412" t="e">
        <f ca="1">SUM(OFFSET(DATES_1er,$A216-$D$189,L$205+DEC_DATE-1):OFFSET(DATES_1er,$B216-$D$189,L$205+DEC_DATE-1))+SUM(OFFSET(DATES_1er,$A215-$D$189,L$205+DEC_DATE-1):OFFSET(DATES_1er,$B215-$D$189,L$205+DEC_DATE-1))</f>
        <v>#VALUE!</v>
      </c>
      <c r="M212" s="412" t="e">
        <f ca="1">SUM(OFFSET(DATES_1er,$A216-$D$189,M$205+DEC_DATE-1):OFFSET(DATES_1er,$B216-$D$189,M$205+DEC_DATE-1))+SUM(OFFSET(DATES_1er,$A215-$D$189,M$205+DEC_DATE-1):OFFSET(DATES_1er,$B215-$D$189,M$205+DEC_DATE-1))</f>
        <v>#VALUE!</v>
      </c>
      <c r="N212" s="412" t="e">
        <f ca="1">SUM(OFFSET(DATES_1er,$A216-$D$189,N$205+DEC_DATE-1):OFFSET(DATES_1er,$B216-$D$189,N$205+DEC_DATE-1))+SUM(OFFSET(DATES_1er,$A215-$D$189,N$205+DEC_DATE-1):OFFSET(DATES_1er,$B215-$D$189,N$205+DEC_DATE-1))</f>
        <v>#VALUE!</v>
      </c>
      <c r="O212" s="412" t="e">
        <f ca="1">SUM(OFFSET(DATES_1er,$A216-$D$189,O$205+DEC_DATE-1):OFFSET(DATES_1er,$B216-$D$189,O$205+DEC_DATE-1))+SUM(OFFSET(DATES_1er,$A215-$D$189,O$205+DEC_DATE-1):OFFSET(DATES_1er,$B215-$D$189,O$205+DEC_DATE-1))</f>
        <v>#VALUE!</v>
      </c>
      <c r="P212" s="412" t="e">
        <f ca="1">SUM(OFFSET(DATES_1er,$A216-$D$189,P$205+DEC_DATE-1):OFFSET(DATES_1er,$B216-$D$189,P$205+DEC_DATE-1))+SUM(OFFSET(DATES_1er,$A215-$D$189,P$205+DEC_DATE-1):OFFSET(DATES_1er,$B215-$D$189,P$205+DEC_DATE-1))</f>
        <v>#VALUE!</v>
      </c>
      <c r="Q212" s="412" t="e">
        <f ca="1">SUM(OFFSET(DATES_1er,$A216-$D$189,Q$205+DEC_DATE-1):OFFSET(DATES_1er,$B216-$D$189,Q$205+DEC_DATE-1))+SUM(OFFSET(DATES_1er,$A215-$D$189,Q$205+DEC_DATE-1):OFFSET(DATES_1er,$B215-$D$189,Q$205+DEC_DATE-1))</f>
        <v>#VALUE!</v>
      </c>
      <c r="R212" s="412" t="e">
        <f ca="1">SUM(OFFSET(DATES_1er,$A216-$D$189,R$205+DEC_DATE-1):OFFSET(DATES_1er,$B216-$D$189,R$205+DEC_DATE-1))+SUM(OFFSET(DATES_1er,$A215-$D$189,R$205+DEC_DATE-1):OFFSET(DATES_1er,$B215-$D$189,R$205+DEC_DATE-1))</f>
        <v>#VALUE!</v>
      </c>
      <c r="S212" s="412" t="e">
        <f ca="1">SUM(OFFSET(DATES_1er,$A216-$D$189,S$205+DEC_DATE-1):OFFSET(DATES_1er,$B216-$D$189,S$205+DEC_DATE-1))+SUM(OFFSET(DATES_1er,$A215-$D$189,S$205+DEC_DATE-1):OFFSET(DATES_1er,$B215-$D$189,S$205+DEC_DATE-1))</f>
        <v>#VALUE!</v>
      </c>
      <c r="T212" s="412" t="e">
        <f ca="1">SUM(OFFSET(DATES_1er,$A216-$D$189,T$205+DEC_DATE-1):OFFSET(DATES_1er,$B216-$D$189,T$205+DEC_DATE-1))+SUM(OFFSET(DATES_1er,$A215-$D$189,T$205+DEC_DATE-1):OFFSET(DATES_1er,$B215-$D$189,T$205+DEC_DATE-1))</f>
        <v>#VALUE!</v>
      </c>
      <c r="U212" s="412" t="e">
        <f ca="1">SUM(OFFSET(DATES_1er,$A216-$D$189,U$205+DEC_DATE-1):OFFSET(DATES_1er,$B216-$D$189,U$205+DEC_DATE-1))+SUM(OFFSET(DATES_1er,$A215-$D$189,U$205+DEC_DATE-1):OFFSET(DATES_1er,$B215-$D$189,U$205+DEC_DATE-1))</f>
        <v>#VALUE!</v>
      </c>
      <c r="V212" s="412" t="e">
        <f ca="1">SUM(OFFSET(DATES_1er,$A216-$D$189,V$205+DEC_DATE-1):OFFSET(DATES_1er,$B216-$D$189,V$205+DEC_DATE-1))+SUM(OFFSET(DATES_1er,$A215-$D$189,V$205+DEC_DATE-1):OFFSET(DATES_1er,$B215-$D$189,V$205+DEC_DATE-1))</f>
        <v>#VALUE!</v>
      </c>
      <c r="W212" s="412" t="e">
        <f ca="1">SUM(OFFSET(DATES_1er,$A216-$D$189,W$205+DEC_DATE-1):OFFSET(DATES_1er,$B216-$D$189,W$205+DEC_DATE-1))+SUM(OFFSET(DATES_1er,$A215-$D$189,W$205+DEC_DATE-1):OFFSET(DATES_1er,$B215-$D$189,W$205+DEC_DATE-1))</f>
        <v>#VALUE!</v>
      </c>
      <c r="X212" s="412" t="e">
        <f ca="1">SUM(OFFSET(DATES_1er,$A216-$D$189,X$205+DEC_DATE-1):OFFSET(DATES_1er,$B216-$D$189,X$205+DEC_DATE-1))+SUM(OFFSET(DATES_1er,$A215-$D$189,X$205+DEC_DATE-1):OFFSET(DATES_1er,$B215-$D$189,X$205+DEC_DATE-1))</f>
        <v>#VALUE!</v>
      </c>
      <c r="Y212" s="168" t="e">
        <f ca="1">SUM(OFFSET(DATES_1er,$A216-$D$189,Y$205+DEC_DATE-1):OFFSET(DATES_1er,$B216-$D$189,Y$205+DEC_DATE-1))+SUM(OFFSET(DATES_1er,$A215-$D$189,Y$205+DEC_DATE-1):OFFSET(DATES_1er,$B215-$D$189,Y$205+DEC_DATE-1))</f>
        <v>#VALUE!</v>
      </c>
      <c r="Z212" s="174"/>
      <c r="BF212" s="132"/>
      <c r="BG212" s="132"/>
      <c r="BH212" s="132"/>
      <c r="BI212" s="132"/>
      <c r="BJ212" s="132"/>
      <c r="BK212" s="132"/>
      <c r="BL212" s="132"/>
    </row>
    <row r="213" spans="1:64">
      <c r="A213" s="413">
        <v>75</v>
      </c>
      <c r="B213" s="413">
        <v>75</v>
      </c>
      <c r="C213" s="174" t="s">
        <v>488</v>
      </c>
      <c r="D213" s="285"/>
      <c r="E213" s="411">
        <f ca="1">ROUND(SUM(OFFSET(BUDGETS_TTC,$A217-ROW(BUDGETS_TTC),0):OFFSET(BUDGETS_TTC,$B217-ROW(BUDGETS_TTC),0))+SUM(OFFSET(BUDGETS_TTC,$A218-ROW(BUDGETS_TTC),0):OFFSET(BUDGETS_TTC,$B218-ROW(BUDGETS_TTC),0))+SUM(OFFSET(BUDGETS_TTC,$A219-ROW(BUDGETS_TTC),0):OFFSET(BUDGETS_TTC,$B219-ROW(BUDGETS_TTC),0)),0)</f>
        <v>0</v>
      </c>
      <c r="F213" s="412" t="e">
        <f ca="1">SUM(OFFSET(DATES_1er,$A217-$D$189,F$205+DEC_DATE-1):OFFSET(DATES_1er,$B217-$D$189,F$205+DEC_DATE-1))+SUM(OFFSET(DATES_1er,$A218-$D$189,F$205+DEC_DATE-1):OFFSET(DATES_1er,$B218-$D$189,F$205+DEC_DATE-1))+SUM(OFFSET(DATES_1er,$A219-$D$189,F$205+DEC_DATE-1):OFFSET(DATES_1er,$B219-$D$189,F$205+DEC_DATE-1))</f>
        <v>#VALUE!</v>
      </c>
      <c r="G213" s="412" t="e">
        <f ca="1">SUM(OFFSET(DATES_1er,$A217-$D$189,G$205+DEC_DATE-1):OFFSET(DATES_1er,$B217-$D$189,G$205+DEC_DATE-1))+SUM(OFFSET(DATES_1er,$A218-$D$189,G$205+DEC_DATE-1):OFFSET(DATES_1er,$B218-$D$189,G$205+DEC_DATE-1))+SUM(OFFSET(DATES_1er,$A219-$D$189,G$205+DEC_DATE-1):OFFSET(DATES_1er,$B219-$D$189,G$205+DEC_DATE-1))</f>
        <v>#VALUE!</v>
      </c>
      <c r="H213" s="412" t="e">
        <f ca="1">SUM(OFFSET(DATES_1er,$A217-$D$189,H$205+DEC_DATE-1):OFFSET(DATES_1er,$B217-$D$189,H$205+DEC_DATE-1))+SUM(OFFSET(DATES_1er,$A218-$D$189,H$205+DEC_DATE-1):OFFSET(DATES_1er,$B218-$D$189,H$205+DEC_DATE-1))+SUM(OFFSET(DATES_1er,$A219-$D$189,H$205+DEC_DATE-1):OFFSET(DATES_1er,$B219-$D$189,H$205+DEC_DATE-1))</f>
        <v>#VALUE!</v>
      </c>
      <c r="I213" s="412" t="e">
        <f ca="1">SUM(OFFSET(DATES_1er,$A217-$D$189,I$205+DEC_DATE-1):OFFSET(DATES_1er,$B217-$D$189,I$205+DEC_DATE-1))+SUM(OFFSET(DATES_1er,$A218-$D$189,I$205+DEC_DATE-1):OFFSET(DATES_1er,$B218-$D$189,I$205+DEC_DATE-1))+SUM(OFFSET(DATES_1er,$A219-$D$189,I$205+DEC_DATE-1):OFFSET(DATES_1er,$B219-$D$189,I$205+DEC_DATE-1))</f>
        <v>#VALUE!</v>
      </c>
      <c r="J213" s="412" t="e">
        <f ca="1">SUM(OFFSET(DATES_1er,$A217-$D$189,J$205+DEC_DATE-1):OFFSET(DATES_1er,$B217-$D$189,J$205+DEC_DATE-1))+SUM(OFFSET(DATES_1er,$A218-$D$189,J$205+DEC_DATE-1):OFFSET(DATES_1er,$B218-$D$189,J$205+DEC_DATE-1))+SUM(OFFSET(DATES_1er,$A219-$D$189,J$205+DEC_DATE-1):OFFSET(DATES_1er,$B219-$D$189,J$205+DEC_DATE-1))</f>
        <v>#VALUE!</v>
      </c>
      <c r="K213" s="412" t="e">
        <f ca="1">SUM(OFFSET(DATES_1er,$A217-$D$189,K$205+DEC_DATE-1):OFFSET(DATES_1er,$B217-$D$189,K$205+DEC_DATE-1))+SUM(OFFSET(DATES_1er,$A218-$D$189,K$205+DEC_DATE-1):OFFSET(DATES_1er,$B218-$D$189,K$205+DEC_DATE-1))+SUM(OFFSET(DATES_1er,$A219-$D$189,K$205+DEC_DATE-1):OFFSET(DATES_1er,$B219-$D$189,K$205+DEC_DATE-1))</f>
        <v>#VALUE!</v>
      </c>
      <c r="L213" s="412" t="e">
        <f ca="1">SUM(OFFSET(DATES_1er,$A217-$D$189,L$205+DEC_DATE-1):OFFSET(DATES_1er,$B217-$D$189,L$205+DEC_DATE-1))+SUM(OFFSET(DATES_1er,$A218-$D$189,L$205+DEC_DATE-1):OFFSET(DATES_1er,$B218-$D$189,L$205+DEC_DATE-1))+SUM(OFFSET(DATES_1er,$A219-$D$189,L$205+DEC_DATE-1):OFFSET(DATES_1er,$B219-$D$189,L$205+DEC_DATE-1))</f>
        <v>#VALUE!</v>
      </c>
      <c r="M213" s="412" t="e">
        <f ca="1">SUM(OFFSET(DATES_1er,$A217-$D$189,M$205+DEC_DATE-1):OFFSET(DATES_1er,$B217-$D$189,M$205+DEC_DATE-1))+SUM(OFFSET(DATES_1er,$A218-$D$189,M$205+DEC_DATE-1):OFFSET(DATES_1er,$B218-$D$189,M$205+DEC_DATE-1))+SUM(OFFSET(DATES_1er,$A219-$D$189,M$205+DEC_DATE-1):OFFSET(DATES_1er,$B219-$D$189,M$205+DEC_DATE-1))</f>
        <v>#VALUE!</v>
      </c>
      <c r="N213" s="412" t="e">
        <f ca="1">SUM(OFFSET(DATES_1er,$A217-$D$189,N$205+DEC_DATE-1):OFFSET(DATES_1er,$B217-$D$189,N$205+DEC_DATE-1))+SUM(OFFSET(DATES_1er,$A218-$D$189,N$205+DEC_DATE-1):OFFSET(DATES_1er,$B218-$D$189,N$205+DEC_DATE-1))+SUM(OFFSET(DATES_1er,$A219-$D$189,N$205+DEC_DATE-1):OFFSET(DATES_1er,$B219-$D$189,N$205+DEC_DATE-1))</f>
        <v>#VALUE!</v>
      </c>
      <c r="O213" s="412" t="e">
        <f ca="1">SUM(OFFSET(DATES_1er,$A217-$D$189,O$205+DEC_DATE-1):OFFSET(DATES_1er,$B217-$D$189,O$205+DEC_DATE-1))+SUM(OFFSET(DATES_1er,$A218-$D$189,O$205+DEC_DATE-1):OFFSET(DATES_1er,$B218-$D$189,O$205+DEC_DATE-1))+SUM(OFFSET(DATES_1er,$A219-$D$189,O$205+DEC_DATE-1):OFFSET(DATES_1er,$B219-$D$189,O$205+DEC_DATE-1))</f>
        <v>#VALUE!</v>
      </c>
      <c r="P213" s="412" t="e">
        <f ca="1">SUM(OFFSET(DATES_1er,$A217-$D$189,P$205+DEC_DATE-1):OFFSET(DATES_1er,$B217-$D$189,P$205+DEC_DATE-1))+SUM(OFFSET(DATES_1er,$A218-$D$189,P$205+DEC_DATE-1):OFFSET(DATES_1er,$B218-$D$189,P$205+DEC_DATE-1))+SUM(OFFSET(DATES_1er,$A219-$D$189,P$205+DEC_DATE-1):OFFSET(DATES_1er,$B219-$D$189,P$205+DEC_DATE-1))</f>
        <v>#VALUE!</v>
      </c>
      <c r="Q213" s="412" t="e">
        <f ca="1">SUM(OFFSET(DATES_1er,$A217-$D$189,Q$205+DEC_DATE-1):OFFSET(DATES_1er,$B217-$D$189,Q$205+DEC_DATE-1))+SUM(OFFSET(DATES_1er,$A218-$D$189,Q$205+DEC_DATE-1):OFFSET(DATES_1er,$B218-$D$189,Q$205+DEC_DATE-1))+SUM(OFFSET(DATES_1er,$A219-$D$189,Q$205+DEC_DATE-1):OFFSET(DATES_1er,$B219-$D$189,Q$205+DEC_DATE-1))</f>
        <v>#VALUE!</v>
      </c>
      <c r="R213" s="412" t="e">
        <f ca="1">SUM(OFFSET(DATES_1er,$A217-$D$189,R$205+DEC_DATE-1):OFFSET(DATES_1er,$B217-$D$189,R$205+DEC_DATE-1))+SUM(OFFSET(DATES_1er,$A218-$D$189,R$205+DEC_DATE-1):OFFSET(DATES_1er,$B218-$D$189,R$205+DEC_DATE-1))+SUM(OFFSET(DATES_1er,$A219-$D$189,R$205+DEC_DATE-1):OFFSET(DATES_1er,$B219-$D$189,R$205+DEC_DATE-1))</f>
        <v>#VALUE!</v>
      </c>
      <c r="S213" s="412" t="e">
        <f ca="1">SUM(OFFSET(DATES_1er,$A217-$D$189,S$205+DEC_DATE-1):OFFSET(DATES_1er,$B217-$D$189,S$205+DEC_DATE-1))+SUM(OFFSET(DATES_1er,$A218-$D$189,S$205+DEC_DATE-1):OFFSET(DATES_1er,$B218-$D$189,S$205+DEC_DATE-1))+SUM(OFFSET(DATES_1er,$A219-$D$189,S$205+DEC_DATE-1):OFFSET(DATES_1er,$B219-$D$189,S$205+DEC_DATE-1))</f>
        <v>#VALUE!</v>
      </c>
      <c r="T213" s="412" t="e">
        <f ca="1">SUM(OFFSET(DATES_1er,$A217-$D$189,T$205+DEC_DATE-1):OFFSET(DATES_1er,$B217-$D$189,T$205+DEC_DATE-1))+SUM(OFFSET(DATES_1er,$A218-$D$189,T$205+DEC_DATE-1):OFFSET(DATES_1er,$B218-$D$189,T$205+DEC_DATE-1))+SUM(OFFSET(DATES_1er,$A219-$D$189,T$205+DEC_DATE-1):OFFSET(DATES_1er,$B219-$D$189,T$205+DEC_DATE-1))</f>
        <v>#VALUE!</v>
      </c>
      <c r="U213" s="412" t="e">
        <f ca="1">SUM(OFFSET(DATES_1er,$A217-$D$189,U$205+DEC_DATE-1):OFFSET(DATES_1er,$B217-$D$189,U$205+DEC_DATE-1))+SUM(OFFSET(DATES_1er,$A218-$D$189,U$205+DEC_DATE-1):OFFSET(DATES_1er,$B218-$D$189,U$205+DEC_DATE-1))+SUM(OFFSET(DATES_1er,$A219-$D$189,U$205+DEC_DATE-1):OFFSET(DATES_1er,$B219-$D$189,U$205+DEC_DATE-1))</f>
        <v>#VALUE!</v>
      </c>
      <c r="V213" s="412" t="e">
        <f ca="1">SUM(OFFSET(DATES_1er,$A217-$D$189,V$205+DEC_DATE-1):OFFSET(DATES_1er,$B217-$D$189,V$205+DEC_DATE-1))+SUM(OFFSET(DATES_1er,$A218-$D$189,V$205+DEC_DATE-1):OFFSET(DATES_1er,$B218-$D$189,V$205+DEC_DATE-1))+SUM(OFFSET(DATES_1er,$A219-$D$189,V$205+DEC_DATE-1):OFFSET(DATES_1er,$B219-$D$189,V$205+DEC_DATE-1))</f>
        <v>#VALUE!</v>
      </c>
      <c r="W213" s="412" t="e">
        <f ca="1">SUM(OFFSET(DATES_1er,$A217-$D$189,W$205+DEC_DATE-1):OFFSET(DATES_1er,$B217-$D$189,W$205+DEC_DATE-1))+SUM(OFFSET(DATES_1er,$A218-$D$189,W$205+DEC_DATE-1):OFFSET(DATES_1er,$B218-$D$189,W$205+DEC_DATE-1))+SUM(OFFSET(DATES_1er,$A219-$D$189,W$205+DEC_DATE-1):OFFSET(DATES_1er,$B219-$D$189,W$205+DEC_DATE-1))</f>
        <v>#VALUE!</v>
      </c>
      <c r="X213" s="412" t="e">
        <f ca="1">SUM(OFFSET(DATES_1er,$A217-$D$189,X$205+DEC_DATE-1):OFFSET(DATES_1er,$B217-$D$189,X$205+DEC_DATE-1))+SUM(OFFSET(DATES_1er,$A218-$D$189,X$205+DEC_DATE-1):OFFSET(DATES_1er,$B218-$D$189,X$205+DEC_DATE-1))+SUM(OFFSET(DATES_1er,$A219-$D$189,X$205+DEC_DATE-1):OFFSET(DATES_1er,$B219-$D$189,X$205+DEC_DATE-1))</f>
        <v>#VALUE!</v>
      </c>
      <c r="Y213" s="168" t="e">
        <f ca="1">SUM(OFFSET(DATES_1er,$A217-$D$189,Y$205+DEC_DATE-1):OFFSET(DATES_1er,$B217-$D$189,Y$205+DEC_DATE-1))+SUM(OFFSET(DATES_1er,$A218-$D$189,Y$205+DEC_DATE-1):OFFSET(DATES_1er,$B218-$D$189,Y$205+DEC_DATE-1))+SUM(OFFSET(DATES_1er,$A219-$D$189,Y$205+DEC_DATE-1):OFFSET(DATES_1er,$B219-$D$189,Y$205+DEC_DATE-1))</f>
        <v>#VALUE!</v>
      </c>
      <c r="BF213" s="132"/>
      <c r="BG213" s="132"/>
      <c r="BH213" s="132"/>
      <c r="BI213" s="132"/>
      <c r="BJ213" s="132"/>
      <c r="BK213" s="132"/>
      <c r="BL213" s="132"/>
    </row>
    <row r="214" spans="1:64">
      <c r="A214" s="413">
        <v>78</v>
      </c>
      <c r="B214" s="413">
        <v>85</v>
      </c>
      <c r="C214" s="174" t="s">
        <v>189</v>
      </c>
      <c r="D214" s="285"/>
      <c r="E214" s="411">
        <f ca="1">ROUND(SUM(OFFSET(BUDGETS_TTC,$A220-ROW(BUDGETS_TTC),0):OFFSET(BUDGETS_TTC,$B220-ROW(BUDGETS_TTC),0)),0)</f>
        <v>0</v>
      </c>
      <c r="F214" s="412" t="e">
        <f ca="1">SUM(OFFSET(DATES_1er,$A220-$D$189,F$205+DEC_DATE-1):OFFSET(DATES_1er,$B220-$D$189,F$205+DEC_DATE-1))</f>
        <v>#VALUE!</v>
      </c>
      <c r="G214" s="412" t="e">
        <f ca="1">SUM(OFFSET(DATES_1er,$A220-$D$189,G$205+DEC_DATE-1):OFFSET(DATES_1er,$B220-$D$189,G$205+DEC_DATE-1))</f>
        <v>#VALUE!</v>
      </c>
      <c r="H214" s="412" t="e">
        <f ca="1">SUM(OFFSET(DATES_1er,$A220-$D$189,H$205+DEC_DATE-1):OFFSET(DATES_1er,$B220-$D$189,H$205+DEC_DATE-1))</f>
        <v>#VALUE!</v>
      </c>
      <c r="I214" s="412" t="e">
        <f ca="1">SUM(OFFSET(DATES_1er,$A220-$D$189,I$205+DEC_DATE-1):OFFSET(DATES_1er,$B220-$D$189,I$205+DEC_DATE-1))</f>
        <v>#VALUE!</v>
      </c>
      <c r="J214" s="412" t="e">
        <f ca="1">SUM(OFFSET(DATES_1er,$A220-$D$189,J$205+DEC_DATE-1):OFFSET(DATES_1er,$B220-$D$189,J$205+DEC_DATE-1))</f>
        <v>#VALUE!</v>
      </c>
      <c r="K214" s="412" t="e">
        <f ca="1">SUM(OFFSET(DATES_1er,$A220-$D$189,K$205+DEC_DATE-1):OFFSET(DATES_1er,$B220-$D$189,K$205+DEC_DATE-1))</f>
        <v>#VALUE!</v>
      </c>
      <c r="L214" s="412" t="e">
        <f ca="1">SUM(OFFSET(DATES_1er,$A220-$D$189,L$205+DEC_DATE-1):OFFSET(DATES_1er,$B220-$D$189,L$205+DEC_DATE-1))</f>
        <v>#VALUE!</v>
      </c>
      <c r="M214" s="412" t="e">
        <f ca="1">SUM(OFFSET(DATES_1er,$A220-$D$189,M$205+DEC_DATE-1):OFFSET(DATES_1er,$B220-$D$189,M$205+DEC_DATE-1))</f>
        <v>#VALUE!</v>
      </c>
      <c r="N214" s="412" t="e">
        <f ca="1">SUM(OFFSET(DATES_1er,$A220-$D$189,N$205+DEC_DATE-1):OFFSET(DATES_1er,$B220-$D$189,N$205+DEC_DATE-1))</f>
        <v>#VALUE!</v>
      </c>
      <c r="O214" s="412" t="e">
        <f ca="1">SUM(OFFSET(DATES_1er,$A220-$D$189,O$205+DEC_DATE-1):OFFSET(DATES_1er,$B220-$D$189,O$205+DEC_DATE-1))</f>
        <v>#VALUE!</v>
      </c>
      <c r="P214" s="412" t="e">
        <f ca="1">SUM(OFFSET(DATES_1er,$A220-$D$189,P$205+DEC_DATE-1):OFFSET(DATES_1er,$B220-$D$189,P$205+DEC_DATE-1))</f>
        <v>#VALUE!</v>
      </c>
      <c r="Q214" s="412" t="e">
        <f ca="1">SUM(OFFSET(DATES_1er,$A220-$D$189,Q$205+DEC_DATE-1):OFFSET(DATES_1er,$B220-$D$189,Q$205+DEC_DATE-1))</f>
        <v>#VALUE!</v>
      </c>
      <c r="R214" s="412" t="e">
        <f ca="1">SUM(OFFSET(DATES_1er,$A220-$D$189,R$205+DEC_DATE-1):OFFSET(DATES_1er,$B220-$D$189,R$205+DEC_DATE-1))</f>
        <v>#VALUE!</v>
      </c>
      <c r="S214" s="412" t="e">
        <f ca="1">SUM(OFFSET(DATES_1er,$A220-$D$189,S$205+DEC_DATE-1):OFFSET(DATES_1er,$B220-$D$189,S$205+DEC_DATE-1))</f>
        <v>#VALUE!</v>
      </c>
      <c r="T214" s="412" t="e">
        <f ca="1">SUM(OFFSET(DATES_1er,$A220-$D$189,T$205+DEC_DATE-1):OFFSET(DATES_1er,$B220-$D$189,T$205+DEC_DATE-1))</f>
        <v>#VALUE!</v>
      </c>
      <c r="U214" s="412" t="e">
        <f ca="1">SUM(OFFSET(DATES_1er,$A220-$D$189,U$205+DEC_DATE-1):OFFSET(DATES_1er,$B220-$D$189,U$205+DEC_DATE-1))</f>
        <v>#VALUE!</v>
      </c>
      <c r="V214" s="412" t="e">
        <f ca="1">SUM(OFFSET(DATES_1er,$A220-$D$189,V$205+DEC_DATE-1):OFFSET(DATES_1er,$B220-$D$189,V$205+DEC_DATE-1))</f>
        <v>#VALUE!</v>
      </c>
      <c r="W214" s="412" t="e">
        <f ca="1">SUM(OFFSET(DATES_1er,$A220-$D$189,W$205+DEC_DATE-1):OFFSET(DATES_1er,$B220-$D$189,W$205+DEC_DATE-1))</f>
        <v>#VALUE!</v>
      </c>
      <c r="X214" s="412" t="e">
        <f ca="1">SUM(OFFSET(DATES_1er,$A220-$D$189,X$205+DEC_DATE-1):OFFSET(DATES_1er,$B220-$D$189,X$205+DEC_DATE-1))</f>
        <v>#VALUE!</v>
      </c>
      <c r="Y214" s="168" t="e">
        <f ca="1">SUM(OFFSET(DATES_1er,$A220-$D$189,Y$205+DEC_DATE-1):OFFSET(DATES_1er,$B220-$D$189,Y$205+DEC_DATE-1))</f>
        <v>#VALUE!</v>
      </c>
      <c r="BF214" s="132"/>
      <c r="BG214" s="132"/>
      <c r="BH214" s="132"/>
      <c r="BI214" s="132"/>
      <c r="BJ214" s="132"/>
      <c r="BK214" s="132"/>
      <c r="BL214" s="132"/>
    </row>
    <row r="215" spans="1:64" ht="13.8" thickBot="1">
      <c r="A215" s="413">
        <v>76</v>
      </c>
      <c r="B215" s="413">
        <v>76</v>
      </c>
      <c r="C215" s="174" t="s">
        <v>190</v>
      </c>
      <c r="D215" s="285"/>
      <c r="E215" s="411">
        <f ca="1">ROUND(SUM(OFFSET(BUDGETS_TTC,$A221-ROW(BUDGETS_TTC),0):OFFSET(BUDGETS_TTC,$B221-ROW(BUDGETS_TTC),0)),0)</f>
        <v>-6</v>
      </c>
      <c r="F215" s="412" t="e">
        <f ca="1">SUM(OFFSET(DATES_1er,$A221-$D$189,F$205+DEC_DATE-1):OFFSET(DATES_1er,$B221-$D$189,F$205+DEC_DATE-1))</f>
        <v>#VALUE!</v>
      </c>
      <c r="G215" s="412" t="e">
        <f ca="1">SUM(OFFSET(DATES_1er,$A221-$D$189,G$205+DEC_DATE-1):OFFSET(DATES_1er,$B221-$D$189,G$205+DEC_DATE-1))</f>
        <v>#VALUE!</v>
      </c>
      <c r="H215" s="412" t="e">
        <f ca="1">SUM(OFFSET(DATES_1er,$A221-$D$189,H$205+DEC_DATE-1):OFFSET(DATES_1er,$B221-$D$189,H$205+DEC_DATE-1))</f>
        <v>#VALUE!</v>
      </c>
      <c r="I215" s="412" t="e">
        <f ca="1">SUM(OFFSET(DATES_1er,$A221-$D$189,I$205+DEC_DATE-1):OFFSET(DATES_1er,$B221-$D$189,I$205+DEC_DATE-1))</f>
        <v>#VALUE!</v>
      </c>
      <c r="J215" s="412" t="e">
        <f ca="1">SUM(OFFSET(DATES_1er,$A221-$D$189,J$205+DEC_DATE-1):OFFSET(DATES_1er,$B221-$D$189,J$205+DEC_DATE-1))</f>
        <v>#VALUE!</v>
      </c>
      <c r="K215" s="412" t="e">
        <f ca="1">SUM(OFFSET(DATES_1er,$A221-$D$189,K$205+DEC_DATE-1):OFFSET(DATES_1er,$B221-$D$189,K$205+DEC_DATE-1))</f>
        <v>#VALUE!</v>
      </c>
      <c r="L215" s="412" t="e">
        <f ca="1">SUM(OFFSET(DATES_1er,$A221-$D$189,L$205+DEC_DATE-1):OFFSET(DATES_1er,$B221-$D$189,L$205+DEC_DATE-1))</f>
        <v>#VALUE!</v>
      </c>
      <c r="M215" s="412" t="e">
        <f ca="1">SUM(OFFSET(DATES_1er,$A221-$D$189,M$205+DEC_DATE-1):OFFSET(DATES_1er,$B221-$D$189,M$205+DEC_DATE-1))</f>
        <v>#VALUE!</v>
      </c>
      <c r="N215" s="412" t="e">
        <f ca="1">SUM(OFFSET(DATES_1er,$A221-$D$189,N$205+DEC_DATE-1):OFFSET(DATES_1er,$B221-$D$189,N$205+DEC_DATE-1))</f>
        <v>#VALUE!</v>
      </c>
      <c r="O215" s="412" t="e">
        <f ca="1">SUM(OFFSET(DATES_1er,$A221-$D$189,O$205+DEC_DATE-1):OFFSET(DATES_1er,$B221-$D$189,O$205+DEC_DATE-1))</f>
        <v>#VALUE!</v>
      </c>
      <c r="P215" s="412" t="e">
        <f ca="1">SUM(OFFSET(DATES_1er,$A221-$D$189,P$205+DEC_DATE-1):OFFSET(DATES_1er,$B221-$D$189,P$205+DEC_DATE-1))</f>
        <v>#VALUE!</v>
      </c>
      <c r="Q215" s="412" t="e">
        <f ca="1">SUM(OFFSET(DATES_1er,$A221-$D$189,Q$205+DEC_DATE-1):OFFSET(DATES_1er,$B221-$D$189,Q$205+DEC_DATE-1))</f>
        <v>#VALUE!</v>
      </c>
      <c r="R215" s="412" t="e">
        <f ca="1">SUM(OFFSET(DATES_1er,$A221-$D$189,R$205+DEC_DATE-1):OFFSET(DATES_1er,$B221-$D$189,R$205+DEC_DATE-1))</f>
        <v>#VALUE!</v>
      </c>
      <c r="S215" s="412" t="e">
        <f ca="1">SUM(OFFSET(DATES_1er,$A221-$D$189,S$205+DEC_DATE-1):OFFSET(DATES_1er,$B221-$D$189,S$205+DEC_DATE-1))</f>
        <v>#VALUE!</v>
      </c>
      <c r="T215" s="412" t="e">
        <f ca="1">SUM(OFFSET(DATES_1er,$A221-$D$189,T$205+DEC_DATE-1):OFFSET(DATES_1er,$B221-$D$189,T$205+DEC_DATE-1))</f>
        <v>#VALUE!</v>
      </c>
      <c r="U215" s="412" t="e">
        <f ca="1">SUM(OFFSET(DATES_1er,$A221-$D$189,U$205+DEC_DATE-1):OFFSET(DATES_1er,$B221-$D$189,U$205+DEC_DATE-1))</f>
        <v>#VALUE!</v>
      </c>
      <c r="V215" s="412" t="e">
        <f ca="1">SUM(OFFSET(DATES_1er,$A221-$D$189,V$205+DEC_DATE-1):OFFSET(DATES_1er,$B221-$D$189,V$205+DEC_DATE-1))</f>
        <v>#VALUE!</v>
      </c>
      <c r="W215" s="412" t="e">
        <f ca="1">SUM(OFFSET(DATES_1er,$A221-$D$189,W$205+DEC_DATE-1):OFFSET(DATES_1er,$B221-$D$189,W$205+DEC_DATE-1))</f>
        <v>#VALUE!</v>
      </c>
      <c r="X215" s="412" t="e">
        <f ca="1">SUM(OFFSET(DATES_1er,$A221-$D$189,X$205+DEC_DATE-1):OFFSET(DATES_1er,$B221-$D$189,X$205+DEC_DATE-1))</f>
        <v>#VALUE!</v>
      </c>
      <c r="Y215" s="843" t="e">
        <f ca="1">SUM(OFFSET(DATES_1er,$A221-$D$189,Y$205+DEC_DATE-1):OFFSET(DATES_1er,$B221-$D$189,Y$205+DEC_DATE-1))</f>
        <v>#VALUE!</v>
      </c>
      <c r="BF215" s="132"/>
      <c r="BG215" s="132"/>
      <c r="BH215" s="132"/>
      <c r="BI215" s="132"/>
      <c r="BJ215" s="132"/>
      <c r="BK215" s="132"/>
      <c r="BL215" s="132"/>
    </row>
    <row r="216" spans="1:64" ht="13.8" thickBot="1">
      <c r="A216" s="413">
        <v>87</v>
      </c>
      <c r="B216" s="413">
        <v>92</v>
      </c>
      <c r="C216" s="414" t="s">
        <v>109</v>
      </c>
      <c r="D216" s="415"/>
      <c r="E216" s="416">
        <f ca="1">ROUND(SUM(OFFSET(BUDGETS_TTC,$A222-ROW(BUDGETS_TTC),0):OFFSET(BUDGETS_TTC,$B222-ROW(BUDGETS_TTC),0)),0)</f>
        <v>-6</v>
      </c>
      <c r="F216" s="417" t="e">
        <f t="shared" ref="F216:O216" ca="1" si="164">ROUND(SUM(F207:F215),0)</f>
        <v>#VALUE!</v>
      </c>
      <c r="G216" s="417" t="e">
        <f t="shared" ca="1" si="164"/>
        <v>#VALUE!</v>
      </c>
      <c r="H216" s="417" t="e">
        <f t="shared" ca="1" si="164"/>
        <v>#VALUE!</v>
      </c>
      <c r="I216" s="417" t="e">
        <f t="shared" ca="1" si="164"/>
        <v>#VALUE!</v>
      </c>
      <c r="J216" s="417" t="e">
        <f t="shared" ca="1" si="164"/>
        <v>#VALUE!</v>
      </c>
      <c r="K216" s="417" t="e">
        <f t="shared" ca="1" si="164"/>
        <v>#VALUE!</v>
      </c>
      <c r="L216" s="417" t="e">
        <f t="shared" ca="1" si="164"/>
        <v>#VALUE!</v>
      </c>
      <c r="M216" s="417" t="e">
        <f t="shared" ca="1" si="164"/>
        <v>#VALUE!</v>
      </c>
      <c r="N216" s="417" t="e">
        <f t="shared" ca="1" si="164"/>
        <v>#VALUE!</v>
      </c>
      <c r="O216" s="417" t="e">
        <f t="shared" ca="1" si="164"/>
        <v>#VALUE!</v>
      </c>
      <c r="P216" s="417" t="e">
        <f t="shared" ref="P216:Y216" ca="1" si="165">ROUND(SUM(P207:P215),0)</f>
        <v>#VALUE!</v>
      </c>
      <c r="Q216" s="417" t="e">
        <f t="shared" ca="1" si="165"/>
        <v>#VALUE!</v>
      </c>
      <c r="R216" s="417" t="e">
        <f t="shared" ca="1" si="165"/>
        <v>#VALUE!</v>
      </c>
      <c r="S216" s="417" t="e">
        <f t="shared" ca="1" si="165"/>
        <v>#VALUE!</v>
      </c>
      <c r="T216" s="417" t="e">
        <f t="shared" ca="1" si="165"/>
        <v>#VALUE!</v>
      </c>
      <c r="U216" s="417" t="e">
        <f t="shared" ca="1" si="165"/>
        <v>#VALUE!</v>
      </c>
      <c r="V216" s="417" t="e">
        <f t="shared" ca="1" si="165"/>
        <v>#VALUE!</v>
      </c>
      <c r="W216" s="417" t="e">
        <f t="shared" ca="1" si="165"/>
        <v>#VALUE!</v>
      </c>
      <c r="X216" s="417" t="e">
        <f t="shared" ca="1" si="165"/>
        <v>#VALUE!</v>
      </c>
      <c r="Y216" s="418" t="e">
        <f t="shared" ca="1" si="165"/>
        <v>#VALUE!</v>
      </c>
      <c r="BF216" s="132"/>
      <c r="BG216" s="132"/>
      <c r="BH216" s="132"/>
      <c r="BI216" s="132"/>
      <c r="BJ216" s="132"/>
      <c r="BK216" s="132"/>
      <c r="BL216" s="132"/>
    </row>
    <row r="217" spans="1:64">
      <c r="A217" s="413">
        <f>ROW(COMMERC)</f>
        <v>96</v>
      </c>
      <c r="B217" s="413">
        <f>ROW(COMMERC)</f>
        <v>96</v>
      </c>
      <c r="C217" s="174" t="s">
        <v>112</v>
      </c>
      <c r="D217" s="285"/>
      <c r="E217" s="411">
        <f ca="1">ROUND(SUM(OFFSET(BUDGETS_TTC,$A223-ROW(BUDGETS_TTC),0):OFFSET(BUDGETS_TTC,$B223-ROW(BUDGETS_TTC),0)),0)</f>
        <v>0</v>
      </c>
      <c r="F217" s="412" t="e">
        <f ca="1">SUM(OFFSET(DATES_1er,$A223-$D$189,F$205+DEC_DATE-1):OFFSET(DATES_1er,$B223-$D$189,F$205+DEC_DATE-1))</f>
        <v>#VALUE!</v>
      </c>
      <c r="G217" s="412" t="e">
        <f ca="1">SUM(OFFSET(DATES_1er,$A223-$D$189,G$205+DEC_DATE-1):OFFSET(DATES_1er,$B223-$D$189,G$205+DEC_DATE-1))</f>
        <v>#VALUE!</v>
      </c>
      <c r="H217" s="412" t="e">
        <f ca="1">SUM(OFFSET(DATES_1er,$A223-$D$189,H$205+DEC_DATE-1):OFFSET(DATES_1er,$B223-$D$189,H$205+DEC_DATE-1))</f>
        <v>#VALUE!</v>
      </c>
      <c r="I217" s="412" t="e">
        <f ca="1">SUM(OFFSET(DATES_1er,$A223-$D$189,I$205+DEC_DATE-1):OFFSET(DATES_1er,$B223-$D$189,I$205+DEC_DATE-1))</f>
        <v>#VALUE!</v>
      </c>
      <c r="J217" s="412" t="e">
        <f ca="1">SUM(OFFSET(DATES_1er,$A223-$D$189,J$205+DEC_DATE-1):OFFSET(DATES_1er,$B223-$D$189,J$205+DEC_DATE-1))</f>
        <v>#VALUE!</v>
      </c>
      <c r="K217" s="412" t="e">
        <f ca="1">SUM(OFFSET(DATES_1er,$A223-$D$189,K$205+DEC_DATE-1):OFFSET(DATES_1er,$B223-$D$189,K$205+DEC_DATE-1))</f>
        <v>#VALUE!</v>
      </c>
      <c r="L217" s="412" t="e">
        <f ca="1">SUM(OFFSET(DATES_1er,$A223-$D$189,L$205+DEC_DATE-1):OFFSET(DATES_1er,$B223-$D$189,L$205+DEC_DATE-1))</f>
        <v>#VALUE!</v>
      </c>
      <c r="M217" s="412" t="e">
        <f ca="1">SUM(OFFSET(DATES_1er,$A223-$D$189,M$205+DEC_DATE-1):OFFSET(DATES_1er,$B223-$D$189,M$205+DEC_DATE-1))</f>
        <v>#VALUE!</v>
      </c>
      <c r="N217" s="412" t="e">
        <f ca="1">SUM(OFFSET(DATES_1er,$A223-$D$189,N$205+DEC_DATE-1):OFFSET(DATES_1er,$B223-$D$189,N$205+DEC_DATE-1))</f>
        <v>#VALUE!</v>
      </c>
      <c r="O217" s="412" t="e">
        <f ca="1">SUM(OFFSET(DATES_1er,$A223-$D$189,O$205+DEC_DATE-1):OFFSET(DATES_1er,$B223-$D$189,O$205+DEC_DATE-1))</f>
        <v>#VALUE!</v>
      </c>
      <c r="P217" s="412" t="e">
        <f ca="1">SUM(OFFSET(DATES_1er,$A223-$D$189,P$205+DEC_DATE-1):OFFSET(DATES_1er,$B223-$D$189,P$205+DEC_DATE-1))</f>
        <v>#VALUE!</v>
      </c>
      <c r="Q217" s="412" t="e">
        <f ca="1">SUM(OFFSET(DATES_1er,$A223-$D$189,Q$205+DEC_DATE-1):OFFSET(DATES_1er,$B223-$D$189,Q$205+DEC_DATE-1))</f>
        <v>#VALUE!</v>
      </c>
      <c r="R217" s="412" t="e">
        <f ca="1">SUM(OFFSET(DATES_1er,$A223-$D$189,R$205+DEC_DATE-1):OFFSET(DATES_1er,$B223-$D$189,R$205+DEC_DATE-1))</f>
        <v>#VALUE!</v>
      </c>
      <c r="S217" s="412" t="e">
        <f ca="1">SUM(OFFSET(DATES_1er,$A223-$D$189,S$205+DEC_DATE-1):OFFSET(DATES_1er,$B223-$D$189,S$205+DEC_DATE-1))</f>
        <v>#VALUE!</v>
      </c>
      <c r="T217" s="412" t="e">
        <f ca="1">SUM(OFFSET(DATES_1er,$A223-$D$189,T$205+DEC_DATE-1):OFFSET(DATES_1er,$B223-$D$189,T$205+DEC_DATE-1))</f>
        <v>#VALUE!</v>
      </c>
      <c r="U217" s="412" t="e">
        <f ca="1">SUM(OFFSET(DATES_1er,$A223-$D$189,U$205+DEC_DATE-1):OFFSET(DATES_1er,$B223-$D$189,U$205+DEC_DATE-1))</f>
        <v>#VALUE!</v>
      </c>
      <c r="V217" s="412" t="e">
        <f ca="1">SUM(OFFSET(DATES_1er,$A223-$D$189,V$205+DEC_DATE-1):OFFSET(DATES_1er,$B223-$D$189,V$205+DEC_DATE-1))</f>
        <v>#VALUE!</v>
      </c>
      <c r="W217" s="412" t="e">
        <f ca="1">SUM(OFFSET(DATES_1er,$A223-$D$189,W$205+DEC_DATE-1):OFFSET(DATES_1er,$B223-$D$189,W$205+DEC_DATE-1))</f>
        <v>#VALUE!</v>
      </c>
      <c r="X217" s="412" t="e">
        <f ca="1">SUM(OFFSET(DATES_1er,$A223-$D$189,X$205+DEC_DATE-1):OFFSET(DATES_1er,$B223-$D$189,X$205+DEC_DATE-1))</f>
        <v>#VALUE!</v>
      </c>
      <c r="Y217" s="168" t="e">
        <f ca="1">SUM(OFFSET(DATES_1er,$A223-$D$189,Y$205+DEC_DATE-1):OFFSET(DATES_1er,$B223-$D$189,Y$205+DEC_DATE-1))</f>
        <v>#VALUE!</v>
      </c>
      <c r="BF217" s="132"/>
      <c r="BG217" s="132"/>
      <c r="BH217" s="132"/>
      <c r="BI217" s="132"/>
      <c r="BJ217" s="132"/>
      <c r="BK217" s="132"/>
      <c r="BL217" s="132"/>
    </row>
    <row r="218" spans="1:64" ht="13.8" thickBot="1">
      <c r="A218" s="413">
        <v>74</v>
      </c>
      <c r="B218" s="413">
        <v>74</v>
      </c>
      <c r="C218" s="174" t="s">
        <v>216</v>
      </c>
      <c r="D218" s="285"/>
      <c r="E218" s="411">
        <f ca="1">ROUND(SUM(OFFSET(BUDGETS_TTC,$A224-ROW(BUDGETS_TTC),0):OFFSET(BUDGETS_TTC,$B224-ROW(BUDGETS_TTC),0)),0)</f>
        <v>0</v>
      </c>
      <c r="F218" s="412" t="e">
        <f ca="1">SUM(OFFSET(DATES_1er,$A224-$D$189,F$205+DEC_DATE-1):OFFSET(DATES_1er,$B224-$D$189,F$205+DEC_DATE-1))</f>
        <v>#VALUE!</v>
      </c>
      <c r="G218" s="412" t="e">
        <f ca="1">SUM(OFFSET(DATES_1er,$A224-$D$189,G$205+DEC_DATE-1):OFFSET(DATES_1er,$B224-$D$189,G$205+DEC_DATE-1))</f>
        <v>#VALUE!</v>
      </c>
      <c r="H218" s="412" t="e">
        <f ca="1">SUM(OFFSET(DATES_1er,$A224-$D$189,H$205+DEC_DATE-1):OFFSET(DATES_1er,$B224-$D$189,H$205+DEC_DATE-1))</f>
        <v>#VALUE!</v>
      </c>
      <c r="I218" s="412" t="e">
        <f ca="1">SUM(OFFSET(DATES_1er,$A224-$D$189,I$205+DEC_DATE-1):OFFSET(DATES_1er,$B224-$D$189,I$205+DEC_DATE-1))</f>
        <v>#VALUE!</v>
      </c>
      <c r="J218" s="412" t="e">
        <f ca="1">SUM(OFFSET(DATES_1er,$A224-$D$189,J$205+DEC_DATE-1):OFFSET(DATES_1er,$B224-$D$189,J$205+DEC_DATE-1))</f>
        <v>#VALUE!</v>
      </c>
      <c r="K218" s="412" t="e">
        <f ca="1">SUM(OFFSET(DATES_1er,$A224-$D$189,K$205+DEC_DATE-1):OFFSET(DATES_1er,$B224-$D$189,K$205+DEC_DATE-1))</f>
        <v>#VALUE!</v>
      </c>
      <c r="L218" s="412" t="e">
        <f ca="1">SUM(OFFSET(DATES_1er,$A224-$D$189,L$205+DEC_DATE-1):OFFSET(DATES_1er,$B224-$D$189,L$205+DEC_DATE-1))</f>
        <v>#VALUE!</v>
      </c>
      <c r="M218" s="412" t="e">
        <f ca="1">SUM(OFFSET(DATES_1er,$A224-$D$189,M$205+DEC_DATE-1):OFFSET(DATES_1er,$B224-$D$189,M$205+DEC_DATE-1))</f>
        <v>#VALUE!</v>
      </c>
      <c r="N218" s="412" t="e">
        <f ca="1">SUM(OFFSET(DATES_1er,$A224-$D$189,N$205+DEC_DATE-1):OFFSET(DATES_1er,$B224-$D$189,N$205+DEC_DATE-1))</f>
        <v>#VALUE!</v>
      </c>
      <c r="O218" s="412" t="e">
        <f ca="1">SUM(OFFSET(DATES_1er,$A224-$D$189,O$205+DEC_DATE-1):OFFSET(DATES_1er,$B224-$D$189,O$205+DEC_DATE-1))</f>
        <v>#VALUE!</v>
      </c>
      <c r="P218" s="412" t="e">
        <f ca="1">SUM(OFFSET(DATES_1er,$A224-$D$189,P$205+DEC_DATE-1):OFFSET(DATES_1er,$B224-$D$189,P$205+DEC_DATE-1))</f>
        <v>#VALUE!</v>
      </c>
      <c r="Q218" s="412" t="e">
        <f ca="1">SUM(OFFSET(DATES_1er,$A224-$D$189,Q$205+DEC_DATE-1):OFFSET(DATES_1er,$B224-$D$189,Q$205+DEC_DATE-1))</f>
        <v>#VALUE!</v>
      </c>
      <c r="R218" s="412" t="e">
        <f ca="1">SUM(OFFSET(DATES_1er,$A224-$D$189,R$205+DEC_DATE-1):OFFSET(DATES_1er,$B224-$D$189,R$205+DEC_DATE-1))</f>
        <v>#VALUE!</v>
      </c>
      <c r="S218" s="412" t="e">
        <f ca="1">SUM(OFFSET(DATES_1er,$A224-$D$189,S$205+DEC_DATE-1):OFFSET(DATES_1er,$B224-$D$189,S$205+DEC_DATE-1))</f>
        <v>#VALUE!</v>
      </c>
      <c r="T218" s="412" t="e">
        <f ca="1">SUM(OFFSET(DATES_1er,$A224-$D$189,T$205+DEC_DATE-1):OFFSET(DATES_1er,$B224-$D$189,T$205+DEC_DATE-1))</f>
        <v>#VALUE!</v>
      </c>
      <c r="U218" s="412" t="e">
        <f ca="1">SUM(OFFSET(DATES_1er,$A224-$D$189,U$205+DEC_DATE-1):OFFSET(DATES_1er,$B224-$D$189,U$205+DEC_DATE-1))</f>
        <v>#VALUE!</v>
      </c>
      <c r="V218" s="412" t="e">
        <f ca="1">SUM(OFFSET(DATES_1er,$A224-$D$189,V$205+DEC_DATE-1):OFFSET(DATES_1er,$B224-$D$189,V$205+DEC_DATE-1))</f>
        <v>#VALUE!</v>
      </c>
      <c r="W218" s="412" t="e">
        <f ca="1">SUM(OFFSET(DATES_1er,$A224-$D$189,W$205+DEC_DATE-1):OFFSET(DATES_1er,$B224-$D$189,W$205+DEC_DATE-1))</f>
        <v>#VALUE!</v>
      </c>
      <c r="X218" s="412" t="e">
        <f ca="1">SUM(OFFSET(DATES_1er,$A224-$D$189,X$205+DEC_DATE-1):OFFSET(DATES_1er,$B224-$D$189,X$205+DEC_DATE-1))</f>
        <v>#VALUE!</v>
      </c>
      <c r="Y218" s="168" t="e">
        <f ca="1">SUM(OFFSET(DATES_1er,$A224-$D$189,Y$205+DEC_DATE-1):OFFSET(DATES_1er,$B224-$D$189,Y$205+DEC_DATE-1))</f>
        <v>#VALUE!</v>
      </c>
      <c r="BF218" s="132"/>
      <c r="BG218" s="132"/>
      <c r="BH218" s="132"/>
      <c r="BI218" s="132"/>
      <c r="BJ218" s="132"/>
      <c r="BK218" s="132"/>
      <c r="BL218" s="132"/>
    </row>
    <row r="219" spans="1:64" ht="13.8" thickBot="1">
      <c r="A219" s="413">
        <v>93</v>
      </c>
      <c r="B219" s="413">
        <v>94</v>
      </c>
      <c r="C219" s="414" t="s">
        <v>121</v>
      </c>
      <c r="D219" s="415"/>
      <c r="E219" s="416"/>
      <c r="F219" s="417" t="e">
        <f t="shared" ref="F219:O219" ca="1" si="166">ROUND(SUM(F217:F218),0)</f>
        <v>#VALUE!</v>
      </c>
      <c r="G219" s="417" t="e">
        <f t="shared" ca="1" si="166"/>
        <v>#VALUE!</v>
      </c>
      <c r="H219" s="417" t="e">
        <f t="shared" ca="1" si="166"/>
        <v>#VALUE!</v>
      </c>
      <c r="I219" s="417" t="e">
        <f t="shared" ca="1" si="166"/>
        <v>#VALUE!</v>
      </c>
      <c r="J219" s="417" t="e">
        <f t="shared" ca="1" si="166"/>
        <v>#VALUE!</v>
      </c>
      <c r="K219" s="417" t="e">
        <f t="shared" ca="1" si="166"/>
        <v>#VALUE!</v>
      </c>
      <c r="L219" s="417" t="e">
        <f t="shared" ca="1" si="166"/>
        <v>#VALUE!</v>
      </c>
      <c r="M219" s="417" t="e">
        <f t="shared" ca="1" si="166"/>
        <v>#VALUE!</v>
      </c>
      <c r="N219" s="417" t="e">
        <f t="shared" ca="1" si="166"/>
        <v>#VALUE!</v>
      </c>
      <c r="O219" s="417" t="e">
        <f t="shared" ca="1" si="166"/>
        <v>#VALUE!</v>
      </c>
      <c r="P219" s="417" t="e">
        <f t="shared" ref="P219:Y219" ca="1" si="167">ROUND(SUM(P217:P218),0)</f>
        <v>#VALUE!</v>
      </c>
      <c r="Q219" s="417" t="e">
        <f t="shared" ca="1" si="167"/>
        <v>#VALUE!</v>
      </c>
      <c r="R219" s="417" t="e">
        <f t="shared" ca="1" si="167"/>
        <v>#VALUE!</v>
      </c>
      <c r="S219" s="417" t="e">
        <f t="shared" ca="1" si="167"/>
        <v>#VALUE!</v>
      </c>
      <c r="T219" s="417" t="e">
        <f t="shared" ca="1" si="167"/>
        <v>#VALUE!</v>
      </c>
      <c r="U219" s="417" t="e">
        <f t="shared" ca="1" si="167"/>
        <v>#VALUE!</v>
      </c>
      <c r="V219" s="417" t="e">
        <f t="shared" ca="1" si="167"/>
        <v>#VALUE!</v>
      </c>
      <c r="W219" s="417" t="e">
        <f t="shared" ca="1" si="167"/>
        <v>#VALUE!</v>
      </c>
      <c r="X219" s="417" t="e">
        <f t="shared" ca="1" si="167"/>
        <v>#VALUE!</v>
      </c>
      <c r="Y219" s="418" t="e">
        <f t="shared" ca="1" si="167"/>
        <v>#VALUE!</v>
      </c>
      <c r="BF219" s="132"/>
      <c r="BG219" s="132"/>
      <c r="BH219" s="132"/>
      <c r="BI219" s="132"/>
      <c r="BJ219" s="132"/>
      <c r="BK219" s="132"/>
      <c r="BL219" s="132"/>
    </row>
    <row r="220" spans="1:64">
      <c r="A220" s="413">
        <f>ROW(TVA_RESID)+7</f>
        <v>106</v>
      </c>
      <c r="B220" s="413">
        <f>ROW(TVA_RESID)+7</f>
        <v>106</v>
      </c>
      <c r="C220" s="174" t="s">
        <v>477</v>
      </c>
      <c r="D220" s="285"/>
      <c r="E220" s="419"/>
      <c r="F220" s="412" t="e">
        <f ca="1">SUM(OFFSET(DATES_1er,$A226-$D$189,F$205+DEC_DATE-1):OFFSET(DATES_1er,$B226-$D$189,F$205+DEC_DATE-1))</f>
        <v>#VALUE!</v>
      </c>
      <c r="G220" s="412" t="e">
        <f ca="1">SUM(OFFSET(DATES_1er,$A226-$D$189,G$205+DEC_DATE-1):OFFSET(DATES_1er,$B226-$D$189,G$205+DEC_DATE-1))</f>
        <v>#VALUE!</v>
      </c>
      <c r="H220" s="412" t="e">
        <f ca="1">SUM(OFFSET(DATES_1er,$A226-$D$189,H$205+DEC_DATE-1):OFFSET(DATES_1er,$B226-$D$189,H$205+DEC_DATE-1))</f>
        <v>#VALUE!</v>
      </c>
      <c r="I220" s="412" t="e">
        <f ca="1">SUM(OFFSET(DATES_1er,$A226-$D$189,I$205+DEC_DATE-1):OFFSET(DATES_1er,$B226-$D$189,I$205+DEC_DATE-1))</f>
        <v>#VALUE!</v>
      </c>
      <c r="J220" s="412" t="e">
        <f ca="1">SUM(OFFSET(DATES_1er,$A226-$D$189,J$205+DEC_DATE-1):OFFSET(DATES_1er,$B226-$D$189,J$205+DEC_DATE-1))</f>
        <v>#VALUE!</v>
      </c>
      <c r="K220" s="412" t="e">
        <f ca="1">SUM(OFFSET(DATES_1er,$A226-$D$189,K$205+DEC_DATE-1):OFFSET(DATES_1er,$B226-$D$189,K$205+DEC_DATE-1))</f>
        <v>#VALUE!</v>
      </c>
      <c r="L220" s="412" t="e">
        <f ca="1">SUM(OFFSET(DATES_1er,$A226-$D$189,L$205+DEC_DATE-1):OFFSET(DATES_1er,$B226-$D$189,L$205+DEC_DATE-1))</f>
        <v>#VALUE!</v>
      </c>
      <c r="M220" s="412" t="e">
        <f ca="1">SUM(OFFSET(DATES_1er,$A226-$D$189,M$205+DEC_DATE-1):OFFSET(DATES_1er,$B226-$D$189,M$205+DEC_DATE-1))</f>
        <v>#VALUE!</v>
      </c>
      <c r="N220" s="412" t="e">
        <f ca="1">SUM(OFFSET(DATES_1er,$A226-$D$189,N$205+DEC_DATE-1):OFFSET(DATES_1er,$B226-$D$189,N$205+DEC_DATE-1))</f>
        <v>#VALUE!</v>
      </c>
      <c r="O220" s="412" t="e">
        <f ca="1">SUM(OFFSET(DATES_1er,$A226-$D$189,O$205+DEC_DATE-1):OFFSET(DATES_1er,$B226-$D$189,O$205+DEC_DATE-1))</f>
        <v>#VALUE!</v>
      </c>
      <c r="P220" s="412" t="e">
        <f ca="1">SUM(OFFSET(DATES_1er,$A226-$D$189,P$205+DEC_DATE-1):OFFSET(DATES_1er,$B226-$D$189,P$205+DEC_DATE-1))</f>
        <v>#VALUE!</v>
      </c>
      <c r="Q220" s="412" t="e">
        <f ca="1">SUM(OFFSET(DATES_1er,$A226-$D$189,Q$205+DEC_DATE-1):OFFSET(DATES_1er,$B226-$D$189,Q$205+DEC_DATE-1))</f>
        <v>#VALUE!</v>
      </c>
      <c r="R220" s="412" t="e">
        <f ca="1">SUM(OFFSET(DATES_1er,$A226-$D$189,R$205+DEC_DATE-1):OFFSET(DATES_1er,$B226-$D$189,R$205+DEC_DATE-1))</f>
        <v>#VALUE!</v>
      </c>
      <c r="S220" s="412" t="e">
        <f ca="1">SUM(OFFSET(DATES_1er,$A226-$D$189,S$205+DEC_DATE-1):OFFSET(DATES_1er,$B226-$D$189,S$205+DEC_DATE-1))</f>
        <v>#VALUE!</v>
      </c>
      <c r="T220" s="412" t="e">
        <f ca="1">SUM(OFFSET(DATES_1er,$A226-$D$189,T$205+DEC_DATE-1):OFFSET(DATES_1er,$B226-$D$189,T$205+DEC_DATE-1))</f>
        <v>#VALUE!</v>
      </c>
      <c r="U220" s="412" t="e">
        <f ca="1">SUM(OFFSET(DATES_1er,$A226-$D$189,U$205+DEC_DATE-1):OFFSET(DATES_1er,$B226-$D$189,U$205+DEC_DATE-1))</f>
        <v>#VALUE!</v>
      </c>
      <c r="V220" s="412" t="e">
        <f ca="1">SUM(OFFSET(DATES_1er,$A226-$D$189,V$205+DEC_DATE-1):OFFSET(DATES_1er,$B226-$D$189,V$205+DEC_DATE-1))</f>
        <v>#VALUE!</v>
      </c>
      <c r="W220" s="412" t="e">
        <f ca="1">SUM(OFFSET(DATES_1er,$A226-$D$189,W$205+DEC_DATE-1):OFFSET(DATES_1er,$B226-$D$189,W$205+DEC_DATE-1))</f>
        <v>#VALUE!</v>
      </c>
      <c r="X220" s="412" t="e">
        <f ca="1">SUM(OFFSET(DATES_1er,$A226-$D$189,X$205+DEC_DATE-1):OFFSET(DATES_1er,$B226-$D$189,X$205+DEC_DATE-1))</f>
        <v>#VALUE!</v>
      </c>
      <c r="Y220" s="168" t="e">
        <f ca="1">SUM(OFFSET(DATES_1er,$A226-$D$189,Y$205+DEC_DATE-1):OFFSET(DATES_1er,$B226-$D$189,Y$205+DEC_DATE-1))</f>
        <v>#VALUE!</v>
      </c>
      <c r="BF220" s="132"/>
      <c r="BG220" s="132"/>
      <c r="BH220" s="132"/>
      <c r="BI220" s="132"/>
      <c r="BJ220" s="132"/>
      <c r="BK220" s="132"/>
      <c r="BL220" s="132"/>
    </row>
    <row r="221" spans="1:64" ht="13.8" thickBot="1">
      <c r="A221" s="413">
        <f>ROW(DIVIDENDES)</f>
        <v>107</v>
      </c>
      <c r="B221" s="413">
        <f>ROW(DIVIDENDES)+5</f>
        <v>112</v>
      </c>
      <c r="C221" s="174" t="s">
        <v>127</v>
      </c>
      <c r="D221" s="285"/>
      <c r="E221" s="419"/>
      <c r="F221" s="412" t="e">
        <f ca="1">SUM(OFFSET(DATES_1er,$A227-$D$189,F$205+DEC_DATE-1):OFFSET(DATES_1er,$B227-$D$189,F$205+DEC_DATE-1))</f>
        <v>#VALUE!</v>
      </c>
      <c r="G221" s="412" t="e">
        <f ca="1">SUM(OFFSET(DATES_1er,$A227-$D$189,G$205+DEC_DATE-1):OFFSET(DATES_1er,$B227-$D$189,G$205+DEC_DATE-1))</f>
        <v>#VALUE!</v>
      </c>
      <c r="H221" s="412" t="e">
        <f ca="1">SUM(OFFSET(DATES_1er,$A227-$D$189,H$205+DEC_DATE-1):OFFSET(DATES_1er,$B227-$D$189,H$205+DEC_DATE-1))</f>
        <v>#VALUE!</v>
      </c>
      <c r="I221" s="412" t="e">
        <f ca="1">SUM(OFFSET(DATES_1er,$A227-$D$189,I$205+DEC_DATE-1):OFFSET(DATES_1er,$B227-$D$189,I$205+DEC_DATE-1))</f>
        <v>#VALUE!</v>
      </c>
      <c r="J221" s="412" t="e">
        <f ca="1">SUM(OFFSET(DATES_1er,$A227-$D$189,J$205+DEC_DATE-1):OFFSET(DATES_1er,$B227-$D$189,J$205+DEC_DATE-1))</f>
        <v>#VALUE!</v>
      </c>
      <c r="K221" s="412" t="e">
        <f ca="1">SUM(OFFSET(DATES_1er,$A227-$D$189,K$205+DEC_DATE-1):OFFSET(DATES_1er,$B227-$D$189,K$205+DEC_DATE-1))</f>
        <v>#VALUE!</v>
      </c>
      <c r="L221" s="412" t="e">
        <f ca="1">SUM(OFFSET(DATES_1er,$A227-$D$189,L$205+DEC_DATE-1):OFFSET(DATES_1er,$B227-$D$189,L$205+DEC_DATE-1))</f>
        <v>#VALUE!</v>
      </c>
      <c r="M221" s="412" t="e">
        <f ca="1">SUM(OFFSET(DATES_1er,$A227-$D$189,M$205+DEC_DATE-1):OFFSET(DATES_1er,$B227-$D$189,M$205+DEC_DATE-1))</f>
        <v>#VALUE!</v>
      </c>
      <c r="N221" s="412" t="e">
        <f ca="1">SUM(OFFSET(DATES_1er,$A227-$D$189,N$205+DEC_DATE-1):OFFSET(DATES_1er,$B227-$D$189,N$205+DEC_DATE-1))</f>
        <v>#VALUE!</v>
      </c>
      <c r="O221" s="412" t="e">
        <f ca="1">SUM(OFFSET(DATES_1er,$A227-$D$189,O$205+DEC_DATE-1):OFFSET(DATES_1er,$B227-$D$189,O$205+DEC_DATE-1))</f>
        <v>#VALUE!</v>
      </c>
      <c r="P221" s="412" t="e">
        <f ca="1">SUM(OFFSET(DATES_1er,$A227-$D$189,P$205+DEC_DATE-1):OFFSET(DATES_1er,$B227-$D$189,P$205+DEC_DATE-1))</f>
        <v>#VALUE!</v>
      </c>
      <c r="Q221" s="412" t="e">
        <f ca="1">SUM(OFFSET(DATES_1er,$A227-$D$189,Q$205+DEC_DATE-1):OFFSET(DATES_1er,$B227-$D$189,Q$205+DEC_DATE-1))</f>
        <v>#VALUE!</v>
      </c>
      <c r="R221" s="412" t="e">
        <f ca="1">SUM(OFFSET(DATES_1er,$A227-$D$189,R$205+DEC_DATE-1):OFFSET(DATES_1er,$B227-$D$189,R$205+DEC_DATE-1))</f>
        <v>#VALUE!</v>
      </c>
      <c r="S221" s="412" t="e">
        <f ca="1">SUM(OFFSET(DATES_1er,$A227-$D$189,S$205+DEC_DATE-1):OFFSET(DATES_1er,$B227-$D$189,S$205+DEC_DATE-1))</f>
        <v>#VALUE!</v>
      </c>
      <c r="T221" s="412" t="e">
        <f ca="1">SUM(OFFSET(DATES_1er,$A227-$D$189,T$205+DEC_DATE-1):OFFSET(DATES_1er,$B227-$D$189,T$205+DEC_DATE-1))</f>
        <v>#VALUE!</v>
      </c>
      <c r="U221" s="412" t="e">
        <f ca="1">SUM(OFFSET(DATES_1er,$A227-$D$189,U$205+DEC_DATE-1):OFFSET(DATES_1er,$B227-$D$189,U$205+DEC_DATE-1))</f>
        <v>#VALUE!</v>
      </c>
      <c r="V221" s="412" t="e">
        <f ca="1">SUM(OFFSET(DATES_1er,$A227-$D$189,V$205+DEC_DATE-1):OFFSET(DATES_1er,$B227-$D$189,V$205+DEC_DATE-1))</f>
        <v>#VALUE!</v>
      </c>
      <c r="W221" s="412" t="e">
        <f ca="1">SUM(OFFSET(DATES_1er,$A227-$D$189,W$205+DEC_DATE-1):OFFSET(DATES_1er,$B227-$D$189,W$205+DEC_DATE-1))</f>
        <v>#VALUE!</v>
      </c>
      <c r="X221" s="412" t="e">
        <f ca="1">SUM(OFFSET(DATES_1er,$A227-$D$189,X$205+DEC_DATE-1):OFFSET(DATES_1er,$B227-$D$189,X$205+DEC_DATE-1))</f>
        <v>#VALUE!</v>
      </c>
      <c r="Y221" s="168" t="e">
        <f ca="1">SUM(OFFSET(DATES_1er,$A227-$D$189,Y$205+DEC_DATE-1):OFFSET(DATES_1er,$B227-$D$189,Y$205+DEC_DATE-1))</f>
        <v>#VALUE!</v>
      </c>
      <c r="BF221" s="132"/>
      <c r="BG221" s="132"/>
      <c r="BH221" s="132"/>
      <c r="BI221" s="132"/>
      <c r="BJ221" s="132"/>
      <c r="BK221" s="132"/>
      <c r="BL221" s="132"/>
    </row>
    <row r="222" spans="1:64" ht="13.8" thickBot="1">
      <c r="A222" s="413">
        <f>ROW(TOT_DEP)</f>
        <v>113</v>
      </c>
      <c r="B222" s="413">
        <f>ROW(TOT_DEP)</f>
        <v>113</v>
      </c>
      <c r="C222" s="414" t="s">
        <v>152</v>
      </c>
      <c r="D222" s="415"/>
      <c r="E222" s="420"/>
      <c r="F222" s="417" t="e">
        <f ca="1">IF(ROUND(SUM(OFFSET(DATES_1er,$A228-$D$189,F$205+DEC_DATE-1):OFFSET(DATES_1er,$B228-$D$189,F$205+DEC_DATE-1))-(F219-F216+F220+F221),0)=0,F219-F216+F220+F221,"ERREUR")</f>
        <v>#VALUE!</v>
      </c>
      <c r="G222" s="417" t="e">
        <f ca="1">IF(ROUND(SUM(OFFSET(DATES_1er,$A228-$D$189,G$205+DEC_DATE-1):OFFSET(DATES_1er,$B228-$D$189,G$205+DEC_DATE-1))-(G219-G216+G220+G221),0)=0,G219-G216+G220+G221,"ERREUR")</f>
        <v>#VALUE!</v>
      </c>
      <c r="H222" s="417" t="e">
        <f ca="1">IF(ROUND(SUM(OFFSET(DATES_1er,$A228-$D$189,H$205+DEC_DATE-1):OFFSET(DATES_1er,$B228-$D$189,H$205+DEC_DATE-1))-(H219-H216+H220+H221),0)=0,H219-H216+H220+H221,"ERREUR")</f>
        <v>#VALUE!</v>
      </c>
      <c r="I222" s="417" t="e">
        <f ca="1">IF(ROUND(SUM(OFFSET(DATES_1er,$A228-$D$189,I$205+DEC_DATE-1):OFFSET(DATES_1er,$B228-$D$189,I$205+DEC_DATE-1))-(I219-I216+I220+I221),0)=0,I219-I216+I220+I221,"ERREUR")</f>
        <v>#VALUE!</v>
      </c>
      <c r="J222" s="417" t="e">
        <f ca="1">IF(ROUND(SUM(OFFSET(DATES_1er,$A228-$D$189,J$205+DEC_DATE-1):OFFSET(DATES_1er,$B228-$D$189,J$205+DEC_DATE-1))-(J219-J216+J220+J221),0)=0,J219-J216+J220+J221,"ERREUR")</f>
        <v>#VALUE!</v>
      </c>
      <c r="K222" s="417" t="e">
        <f ca="1">IF(ROUND(SUM(OFFSET(DATES_1er,$A228-$D$189,K$205+DEC_DATE-1):OFFSET(DATES_1er,$B228-$D$189,K$205+DEC_DATE-1))-(K219-K216+K220+K221),0)=0,K219-K216+K220+K221,"ERREUR")</f>
        <v>#VALUE!</v>
      </c>
      <c r="L222" s="417" t="e">
        <f ca="1">IF(ROUND(SUM(OFFSET(DATES_1er,$A228-$D$189,L$205+DEC_DATE-1):OFFSET(DATES_1er,$B228-$D$189,L$205+DEC_DATE-1))-(L219-L216+L220+L221),0)=0,L219-L216+L220+L221,"ERREUR")</f>
        <v>#VALUE!</v>
      </c>
      <c r="M222" s="417" t="e">
        <f ca="1">IF(ROUND(SUM(OFFSET(DATES_1er,$A228-$D$189,M$205+DEC_DATE-1):OFFSET(DATES_1er,$B228-$D$189,M$205+DEC_DATE-1))-(M219-M216+M220+M221),0)=0,M219-M216+M220+M221,"ERREUR")</f>
        <v>#VALUE!</v>
      </c>
      <c r="N222" s="417" t="e">
        <f ca="1">IF(ROUND(SUM(OFFSET(DATES_1er,$A228-$D$189,N$205+DEC_DATE-1):OFFSET(DATES_1er,$B228-$D$189,N$205+DEC_DATE-1))-(N219-N216+N220+N221),0)=0,N219-N216+N220+N221,"ERREUR")</f>
        <v>#VALUE!</v>
      </c>
      <c r="O222" s="417" t="e">
        <f ca="1">IF(ROUND(SUM(OFFSET(DATES_1er,$A228-$D$189,O$205+DEC_DATE-1):OFFSET(DATES_1er,$B228-$D$189,O$205+DEC_DATE-1))-(O219-O216+O220+O221),0)=0,O219-O216+O220+O221,"ERREUR")</f>
        <v>#VALUE!</v>
      </c>
      <c r="P222" s="417" t="e">
        <f ca="1">IF(ROUND(SUM(OFFSET(DATES_1er,$A228-$D$189,P$205+DEC_DATE-1):OFFSET(DATES_1er,$B228-$D$189,P$205+DEC_DATE-1))-(P219-P216+P220+P221),0)=0,P219-P216+P220+P221,"ERREUR")</f>
        <v>#VALUE!</v>
      </c>
      <c r="Q222" s="417" t="e">
        <f ca="1">IF(ROUND(SUM(OFFSET(DATES_1er,$A228-$D$189,Q$205+DEC_DATE-1):OFFSET(DATES_1er,$B228-$D$189,Q$205+DEC_DATE-1))-(Q219-Q216+Q220+Q221),0)=0,Q219-Q216+Q220+Q221,"ERREUR")</f>
        <v>#VALUE!</v>
      </c>
      <c r="R222" s="417" t="e">
        <f ca="1">IF(ROUND(SUM(OFFSET(DATES_1er,$A228-$D$189,R$205+DEC_DATE-1):OFFSET(DATES_1er,$B228-$D$189,R$205+DEC_DATE-1))-(R219-R216+R220+R221),0)=0,R219-R216+R220+R221,"ERREUR")</f>
        <v>#VALUE!</v>
      </c>
      <c r="S222" s="417" t="e">
        <f ca="1">IF(ROUND(SUM(OFFSET(DATES_1er,$A228-$D$189,S$205+DEC_DATE-1):OFFSET(DATES_1er,$B228-$D$189,S$205+DEC_DATE-1))-(S219-S216+S220+S221),0)=0,S219-S216+S220+S221,"ERREUR")</f>
        <v>#VALUE!</v>
      </c>
      <c r="T222" s="417" t="e">
        <f ca="1">IF(ROUND(SUM(OFFSET(DATES_1er,$A228-$D$189,T$205+DEC_DATE-1):OFFSET(DATES_1er,$B228-$D$189,T$205+DEC_DATE-1))-(T219-T216+T220+T221),0)=0,T219-T216+T220+T221,"ERREUR")</f>
        <v>#VALUE!</v>
      </c>
      <c r="U222" s="417" t="e">
        <f ca="1">IF(ROUND(SUM(OFFSET(DATES_1er,$A228-$D$189,U$205+DEC_DATE-1):OFFSET(DATES_1er,$B228-$D$189,U$205+DEC_DATE-1))-(U219-U216+U220+U221),0)=0,U219-U216+U220+U221,"ERREUR")</f>
        <v>#VALUE!</v>
      </c>
      <c r="V222" s="417" t="e">
        <f ca="1">IF(ROUND(SUM(OFFSET(DATES_1er,$A228-$D$189,V$205+DEC_DATE-1):OFFSET(DATES_1er,$B228-$D$189,V$205+DEC_DATE-1))-(V219-V216+V220+V221),0)=0,V219-V216+V220+V221,"ERREUR")</f>
        <v>#VALUE!</v>
      </c>
      <c r="W222" s="417" t="e">
        <f ca="1">IF(ROUND(SUM(OFFSET(DATES_1er,$A228-$D$189,W$205+DEC_DATE-1):OFFSET(DATES_1er,$B228-$D$189,W$205+DEC_DATE-1))-(W219-W216+W220+W221),0)=0,W219-W216+W220+W221,"ERREUR")</f>
        <v>#VALUE!</v>
      </c>
      <c r="X222" s="417" t="e">
        <f ca="1">IF(ROUND(SUM(OFFSET(DATES_1er,$A228-$D$189,X$205+DEC_DATE-1):OFFSET(DATES_1er,$B228-$D$189,X$205+DEC_DATE-1))-(X219-X216+X220+X221),0)=0,X219-X216+X220+X221,"ERREUR")</f>
        <v>#VALUE!</v>
      </c>
      <c r="Y222" s="418" t="e">
        <f ca="1">IF(ROUND(SUM(OFFSET(DATES_1er,$A228-$D$189,Y$205+DEC_DATE-1):OFFSET(DATES_1er,$B228-$D$189,Y$205+DEC_DATE-1))-(Y219-Y216+Y220+Y221),0)=0,Y219-Y216+Y220+Y221,"ERREUR")</f>
        <v>#VALUE!</v>
      </c>
      <c r="BF222" s="132"/>
      <c r="BG222" s="132"/>
      <c r="BH222" s="132"/>
      <c r="BI222" s="132"/>
      <c r="BJ222" s="132"/>
      <c r="BK222" s="132"/>
      <c r="BL222" s="132"/>
    </row>
    <row r="223" spans="1:64" ht="13.8" thickBot="1">
      <c r="A223" s="413">
        <f>ROW(ENCAISSEMENTS)</f>
        <v>115</v>
      </c>
      <c r="B223" s="413">
        <f>ROW(ENCAISSEMENTS)+11</f>
        <v>126</v>
      </c>
      <c r="C223" s="421" t="s">
        <v>215</v>
      </c>
      <c r="D223" s="137"/>
      <c r="E223" s="422">
        <f>APPORT_COMPL</f>
        <v>0</v>
      </c>
      <c r="F223" s="423" t="e">
        <f ca="1">IF(F222&gt;0,0,IF(ABS(F222)&lt;APPORT_COMPL*PRIX_REVIENT,-F222,APPORT_COMPL*PRIX_REVIENT))</f>
        <v>#VALUE!</v>
      </c>
      <c r="G223" s="423" t="e">
        <f t="shared" ref="G223:Y223" ca="1" si="168">IF(G222&gt;0,0,IF(ABS(G222)&lt;APPORT_COMPL*PRIX_REVIENT,-G222,APPORT_COMPL*PRIX_REVIENT))</f>
        <v>#VALUE!</v>
      </c>
      <c r="H223" s="423" t="e">
        <f t="shared" ca="1" si="168"/>
        <v>#VALUE!</v>
      </c>
      <c r="I223" s="423" t="e">
        <f t="shared" ca="1" si="168"/>
        <v>#VALUE!</v>
      </c>
      <c r="J223" s="423" t="e">
        <f t="shared" ca="1" si="168"/>
        <v>#VALUE!</v>
      </c>
      <c r="K223" s="423" t="e">
        <f t="shared" ca="1" si="168"/>
        <v>#VALUE!</v>
      </c>
      <c r="L223" s="423" t="e">
        <f t="shared" ca="1" si="168"/>
        <v>#VALUE!</v>
      </c>
      <c r="M223" s="423" t="e">
        <f t="shared" ca="1" si="168"/>
        <v>#VALUE!</v>
      </c>
      <c r="N223" s="423" t="e">
        <f t="shared" ca="1" si="168"/>
        <v>#VALUE!</v>
      </c>
      <c r="O223" s="423" t="e">
        <f t="shared" ca="1" si="168"/>
        <v>#VALUE!</v>
      </c>
      <c r="P223" s="423" t="e">
        <f t="shared" ca="1" si="168"/>
        <v>#VALUE!</v>
      </c>
      <c r="Q223" s="423" t="e">
        <f t="shared" ca="1" si="168"/>
        <v>#VALUE!</v>
      </c>
      <c r="R223" s="423" t="e">
        <f t="shared" ca="1" si="168"/>
        <v>#VALUE!</v>
      </c>
      <c r="S223" s="423" t="e">
        <f t="shared" ca="1" si="168"/>
        <v>#VALUE!</v>
      </c>
      <c r="T223" s="423" t="e">
        <f t="shared" ca="1" si="168"/>
        <v>#VALUE!</v>
      </c>
      <c r="U223" s="423" t="e">
        <f t="shared" ca="1" si="168"/>
        <v>#VALUE!</v>
      </c>
      <c r="V223" s="423" t="e">
        <f t="shared" ca="1" si="168"/>
        <v>#VALUE!</v>
      </c>
      <c r="W223" s="423" t="e">
        <f t="shared" ca="1" si="168"/>
        <v>#VALUE!</v>
      </c>
      <c r="X223" s="423" t="e">
        <f t="shared" ca="1" si="168"/>
        <v>#VALUE!</v>
      </c>
      <c r="Y223" s="423" t="e">
        <f t="shared" ca="1" si="168"/>
        <v>#VALUE!</v>
      </c>
    </row>
    <row r="224" spans="1:64">
      <c r="A224" s="413">
        <f>ROW(APP_PROM)+1</f>
        <v>128</v>
      </c>
      <c r="B224" s="413">
        <f>ROW(APP_PROM)+1</f>
        <v>128</v>
      </c>
      <c r="N224" s="132"/>
    </row>
    <row r="225" spans="1:65" ht="17.399999999999999">
      <c r="A225" s="413">
        <f>ROW(TOT_REC)</f>
        <v>130</v>
      </c>
      <c r="B225" s="413">
        <f>ROW(TOT_REC)</f>
        <v>130</v>
      </c>
      <c r="C225" s="424" t="s">
        <v>191</v>
      </c>
      <c r="N225" s="132"/>
    </row>
    <row r="226" spans="1:65" ht="16.5" customHeight="1">
      <c r="A226" s="413">
        <f>ROW(FR_FIN)</f>
        <v>134</v>
      </c>
      <c r="B226" s="413">
        <f>ROW(FR_FIN)+4</f>
        <v>138</v>
      </c>
      <c r="C226" s="401" t="str">
        <f>IF(FF_CAL&gt;FF_BUD,"Frais financiers calculés supérieurs au budget de frais financiers.","")</f>
        <v/>
      </c>
      <c r="N226" s="132"/>
    </row>
    <row r="227" spans="1:65" ht="16.5" customHeight="1">
      <c r="A227" s="413">
        <f>ROW(PR_FIN)</f>
        <v>140</v>
      </c>
      <c r="B227" s="413">
        <f>ROW(PR_FIN)</f>
        <v>140</v>
      </c>
      <c r="C227" s="401" t="str">
        <f>IF(AP_RBT&lt;&gt;AP_RBT_CONS,"Date conseillée de rbt des fonds propres différente de la date réelle.","")</f>
        <v>Date conseillée de rbt des fonds propres différente de la date réelle.</v>
      </c>
      <c r="N227" s="132"/>
      <c r="BF227" s="132"/>
      <c r="BG227" s="138"/>
      <c r="BM227" s="139"/>
    </row>
    <row r="228" spans="1:65" ht="16.5" customHeight="1">
      <c r="A228" s="413">
        <f>ROW(TRESORERIE)</f>
        <v>142</v>
      </c>
      <c r="B228" s="413">
        <f>ROW(TRESORERIE)</f>
        <v>142</v>
      </c>
      <c r="C228" s="401" t="e">
        <f ca="1">IF(CONTR_DATE_DEB &lt;&gt; 0, "La date de début saisie est incorrecte","")</f>
        <v>#VALUE!</v>
      </c>
      <c r="N228" s="132"/>
      <c r="BF228" s="132"/>
      <c r="BG228" s="138"/>
      <c r="BM228" s="139"/>
    </row>
    <row r="229" spans="1:65" ht="16.5" customHeight="1">
      <c r="B229" s="132">
        <v>0</v>
      </c>
      <c r="C229" s="401" t="e">
        <f>IF(T196&lt;0.005,"L’écart entre le budget de frais financiers et le montant calculé  par le plan de trésorerie est &lt; 0.5% du CA TTC.","")</f>
        <v>#DIV/0!</v>
      </c>
      <c r="N229" s="132"/>
      <c r="BF229" s="132"/>
      <c r="BG229" s="138"/>
      <c r="BM229" s="139"/>
    </row>
    <row r="230" spans="1:65" ht="16.5" customHeight="1" thickBot="1">
      <c r="C230" s="404"/>
      <c r="N230" s="132"/>
      <c r="BF230" s="132"/>
      <c r="BG230" s="138"/>
      <c r="BM230" s="139"/>
    </row>
    <row r="231" spans="1:65" ht="27.75" customHeight="1">
      <c r="C231" s="425" t="s">
        <v>212</v>
      </c>
      <c r="D231" s="426"/>
      <c r="E231" s="426"/>
      <c r="F231" s="426"/>
      <c r="G231" s="426"/>
      <c r="H231" s="426"/>
      <c r="I231" s="426"/>
      <c r="J231" s="426"/>
      <c r="K231" s="426"/>
      <c r="L231" s="426"/>
      <c r="M231" s="426"/>
      <c r="N231" s="426"/>
      <c r="O231" s="426"/>
      <c r="P231" s="426"/>
      <c r="Q231" s="426"/>
      <c r="R231" s="426"/>
      <c r="S231" s="426"/>
      <c r="T231" s="426"/>
      <c r="U231" s="426"/>
      <c r="V231" s="426"/>
      <c r="W231" s="426"/>
      <c r="X231" s="426"/>
      <c r="Y231" s="427"/>
      <c r="BF231" s="132"/>
      <c r="BG231" s="138"/>
      <c r="BM231" s="139"/>
    </row>
    <row r="232" spans="1:65" ht="27.75" customHeight="1">
      <c r="C232" s="428"/>
      <c r="D232" s="429"/>
      <c r="E232" s="429"/>
      <c r="F232" s="429"/>
      <c r="G232" s="429"/>
      <c r="H232" s="429"/>
      <c r="I232" s="429"/>
      <c r="J232" s="429"/>
      <c r="K232" s="429"/>
      <c r="L232" s="429"/>
      <c r="M232" s="429"/>
      <c r="N232" s="429"/>
      <c r="O232" s="429"/>
      <c r="P232" s="429"/>
      <c r="Q232" s="429"/>
      <c r="R232" s="429"/>
      <c r="S232" s="429"/>
      <c r="T232" s="429"/>
      <c r="U232" s="429"/>
      <c r="V232" s="429"/>
      <c r="W232" s="429"/>
      <c r="X232" s="429"/>
      <c r="Y232" s="430"/>
      <c r="BF232" s="132"/>
      <c r="BG232" s="138"/>
      <c r="BM232" s="139"/>
    </row>
    <row r="233" spans="1:65" ht="27.75" customHeight="1">
      <c r="C233" s="428"/>
      <c r="D233" s="429"/>
      <c r="E233" s="429"/>
      <c r="F233" s="429"/>
      <c r="G233" s="429"/>
      <c r="H233" s="429"/>
      <c r="I233" s="429"/>
      <c r="J233" s="429"/>
      <c r="K233" s="429"/>
      <c r="L233" s="429"/>
      <c r="M233" s="429"/>
      <c r="N233" s="429"/>
      <c r="O233" s="429"/>
      <c r="P233" s="429"/>
      <c r="Q233" s="429"/>
      <c r="R233" s="429"/>
      <c r="S233" s="429"/>
      <c r="T233" s="429"/>
      <c r="U233" s="429"/>
      <c r="V233" s="429"/>
      <c r="W233" s="429"/>
      <c r="X233" s="429"/>
      <c r="Y233" s="430"/>
      <c r="BF233" s="132"/>
      <c r="BG233" s="138"/>
      <c r="BM233" s="139"/>
    </row>
    <row r="234" spans="1:65" ht="27.75" customHeight="1">
      <c r="C234" s="428"/>
      <c r="D234" s="429"/>
      <c r="E234" s="429"/>
      <c r="F234" s="429"/>
      <c r="G234" s="429"/>
      <c r="H234" s="429"/>
      <c r="I234" s="429"/>
      <c r="J234" s="429"/>
      <c r="K234" s="429"/>
      <c r="L234" s="429"/>
      <c r="M234" s="429"/>
      <c r="N234" s="429"/>
      <c r="O234" s="429"/>
      <c r="P234" s="429"/>
      <c r="Q234" s="429"/>
      <c r="R234" s="429"/>
      <c r="S234" s="429"/>
      <c r="T234" s="429"/>
      <c r="U234" s="429"/>
      <c r="V234" s="429"/>
      <c r="W234" s="429"/>
      <c r="X234" s="429"/>
      <c r="Y234" s="430"/>
      <c r="BF234" s="132"/>
      <c r="BG234" s="138"/>
      <c r="BM234" s="139"/>
    </row>
    <row r="235" spans="1:65" ht="27.75" customHeight="1">
      <c r="C235" s="428"/>
      <c r="D235" s="429"/>
      <c r="E235" s="429"/>
      <c r="F235" s="429"/>
      <c r="G235" s="429"/>
      <c r="H235" s="429"/>
      <c r="I235" s="429"/>
      <c r="J235" s="429"/>
      <c r="K235" s="429"/>
      <c r="L235" s="429"/>
      <c r="M235" s="429"/>
      <c r="N235" s="429"/>
      <c r="O235" s="429"/>
      <c r="P235" s="429"/>
      <c r="Q235" s="429"/>
      <c r="R235" s="429"/>
      <c r="S235" s="429"/>
      <c r="T235" s="429"/>
      <c r="U235" s="429"/>
      <c r="V235" s="429"/>
      <c r="W235" s="429"/>
      <c r="X235" s="429"/>
      <c r="Y235" s="430"/>
      <c r="BF235" s="132"/>
      <c r="BG235" s="138"/>
      <c r="BM235" s="139"/>
    </row>
    <row r="236" spans="1:65" ht="27.75" customHeight="1">
      <c r="C236" s="428"/>
      <c r="D236" s="429"/>
      <c r="E236" s="429"/>
      <c r="F236" s="429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429"/>
      <c r="R236" s="429"/>
      <c r="S236" s="429"/>
      <c r="T236" s="429"/>
      <c r="U236" s="429"/>
      <c r="V236" s="429"/>
      <c r="W236" s="429"/>
      <c r="X236" s="429"/>
      <c r="Y236" s="430"/>
      <c r="BF236" s="132"/>
      <c r="BG236" s="138"/>
      <c r="BM236" s="139"/>
    </row>
    <row r="237" spans="1:65" ht="27.75" customHeight="1" thickBot="1">
      <c r="C237" s="431"/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  <c r="O237" s="182"/>
      <c r="P237" s="182"/>
      <c r="Q237" s="182"/>
      <c r="R237" s="182"/>
      <c r="S237" s="182"/>
      <c r="T237" s="182"/>
      <c r="U237" s="182"/>
      <c r="V237" s="182"/>
      <c r="W237" s="182"/>
      <c r="X237" s="182"/>
      <c r="Y237" s="176"/>
      <c r="BF237" s="132"/>
      <c r="BG237" s="138"/>
      <c r="BM237" s="139"/>
    </row>
    <row r="238" spans="1:65">
      <c r="N238" s="132"/>
    </row>
    <row r="239" spans="1:65">
      <c r="N239" s="132"/>
    </row>
    <row r="285" spans="14:14">
      <c r="N285" s="132"/>
    </row>
    <row r="286" spans="14:14">
      <c r="N286" s="132"/>
    </row>
  </sheetData>
  <customSheetViews>
    <customSheetView guid="{185B1D6B-988C-4819-B119-9DBF81846F69}" showGridLines="0" fitToPage="1" state="hidden" showRuler="0" topLeftCell="A197">
      <pane xSplit="2" topLeftCell="L1" activePane="topRight" state="frozenSplit"/>
      <selection pane="topRight" activeCell="BN2" sqref="BN2:BN184"/>
      <rowBreaks count="1" manualBreakCount="1">
        <brk id="222" max="65535" man="1"/>
      </rowBreaks>
      <colBreaks count="1" manualBreakCount="1">
        <brk id="65" max="1048575" man="1"/>
      </colBreaks>
      <pageMargins left="0.78740157499999996" right="0.78740157499999996" top="0.98425196900000012" bottom="0" header="0.49212598450000006" footer="0.49212598450000006"/>
      <printOptions horizontalCentered="1"/>
      <pageSetup paperSize="9" scale="66" orientation="landscape" r:id="rId1"/>
      <headerFooter alignWithMargins="0">
        <oddHeader>&amp;L&amp;F&amp;C&amp;"Geneva,Gras"&amp;14PLAN DE TRESORERIE&amp;RLe &amp;Dà &amp;T</oddHeader>
      </headerFooter>
    </customSheetView>
  </customSheetViews>
  <mergeCells count="1">
    <mergeCell ref="N203:Q203"/>
  </mergeCells>
  <phoneticPr fontId="16" type="noConversion"/>
  <printOptions horizontalCentered="1" gridLinesSet="0"/>
  <pageMargins left="0.78740157499999996" right="0.78740157499999996" top="0.98425196900000012" bottom="0" header="0.49212598450000006" footer="0.49212598450000006"/>
  <pageSetup paperSize="9" scale="52" orientation="landscape" r:id="rId2"/>
  <headerFooter alignWithMargins="0">
    <oddHeader>&amp;L&amp;F&amp;C&amp;"Geneva,Gras"&amp;14PLAN DE TRESORERIE&amp;RLe &amp;Dà &amp;T</oddHeader>
  </headerFooter>
  <rowBreaks count="1" manualBreakCount="1">
    <brk id="222" max="65535" man="1"/>
  </rowBreaks>
  <colBreaks count="1" manualBreakCount="1">
    <brk id="65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2:V23"/>
  <sheetViews>
    <sheetView showGridLines="0" workbookViewId="0"/>
  </sheetViews>
  <sheetFormatPr baseColWidth="10" defaultRowHeight="13.2"/>
  <cols>
    <col min="1" max="2" width="8.6640625" customWidth="1"/>
    <col min="3" max="4" width="6.6640625" customWidth="1"/>
    <col min="5" max="6" width="3.6640625" customWidth="1"/>
    <col min="7" max="12" width="6.6640625" customWidth="1"/>
    <col min="13" max="13" width="6.5546875" customWidth="1"/>
    <col min="14" max="22" width="8.6640625" customWidth="1"/>
  </cols>
  <sheetData>
    <row r="2" spans="1:22" ht="15.6">
      <c r="A2" s="76" t="s">
        <v>192</v>
      </c>
    </row>
    <row r="3" spans="1:22">
      <c r="A3" t="s">
        <v>193</v>
      </c>
    </row>
    <row r="4" spans="1:22" ht="13.8" thickBot="1"/>
    <row r="5" spans="1:22">
      <c r="A5" s="85" t="s">
        <v>64</v>
      </c>
      <c r="B5" s="86"/>
      <c r="C5" s="852"/>
      <c r="D5" s="853" t="s">
        <v>37</v>
      </c>
      <c r="E5" s="854"/>
      <c r="F5" s="854"/>
      <c r="G5" s="855" t="s">
        <v>82</v>
      </c>
      <c r="H5" s="856" t="s">
        <v>66</v>
      </c>
      <c r="I5" s="855" t="s">
        <v>67</v>
      </c>
      <c r="J5" s="856" t="s">
        <v>66</v>
      </c>
      <c r="K5" s="855" t="s">
        <v>68</v>
      </c>
      <c r="L5" s="857" t="s">
        <v>66</v>
      </c>
      <c r="N5" s="80" t="s">
        <v>101</v>
      </c>
      <c r="O5" s="81"/>
      <c r="P5" s="81"/>
      <c r="Q5" s="81"/>
      <c r="R5" s="81"/>
      <c r="S5" s="82"/>
      <c r="T5" s="117">
        <v>3</v>
      </c>
    </row>
    <row r="6" spans="1:22">
      <c r="A6" s="83" t="s">
        <v>75</v>
      </c>
      <c r="B6" s="84"/>
      <c r="C6" s="102">
        <v>0</v>
      </c>
      <c r="D6" s="103"/>
      <c r="G6" s="105">
        <v>0</v>
      </c>
      <c r="H6" s="106">
        <v>0</v>
      </c>
      <c r="I6" s="105">
        <v>1</v>
      </c>
      <c r="J6" s="106">
        <v>0</v>
      </c>
      <c r="K6" s="105">
        <v>0</v>
      </c>
      <c r="L6" s="858">
        <v>0</v>
      </c>
      <c r="N6" s="80" t="s">
        <v>103</v>
      </c>
      <c r="O6" s="81"/>
      <c r="P6" s="81"/>
      <c r="Q6" s="81"/>
      <c r="R6" s="81"/>
      <c r="S6" s="82"/>
      <c r="T6" s="117">
        <v>4</v>
      </c>
    </row>
    <row r="7" spans="1:22">
      <c r="A7" s="83" t="s">
        <v>76</v>
      </c>
      <c r="B7" s="84"/>
      <c r="C7" s="102">
        <v>0</v>
      </c>
      <c r="D7" s="104"/>
      <c r="G7" s="107">
        <v>0</v>
      </c>
      <c r="H7" s="108">
        <v>0</v>
      </c>
      <c r="I7" s="107">
        <v>1</v>
      </c>
      <c r="J7" s="108">
        <v>0</v>
      </c>
      <c r="K7" s="107">
        <v>0</v>
      </c>
      <c r="L7" s="84">
        <v>0</v>
      </c>
      <c r="N7" s="80" t="s">
        <v>104</v>
      </c>
      <c r="O7" s="81"/>
      <c r="P7" s="81"/>
      <c r="Q7" s="81"/>
      <c r="R7" s="81"/>
      <c r="S7" s="82"/>
      <c r="T7" s="117">
        <v>1</v>
      </c>
    </row>
    <row r="8" spans="1:22">
      <c r="A8" s="83" t="s">
        <v>77</v>
      </c>
      <c r="B8" s="84"/>
      <c r="C8" s="102">
        <v>0.19600000000000001</v>
      </c>
      <c r="D8" s="104"/>
      <c r="G8" s="107">
        <v>0</v>
      </c>
      <c r="H8" s="108">
        <v>0</v>
      </c>
      <c r="I8" s="107">
        <v>1</v>
      </c>
      <c r="J8" s="108">
        <v>0</v>
      </c>
      <c r="K8" s="107">
        <v>0</v>
      </c>
      <c r="L8" s="84">
        <v>0</v>
      </c>
      <c r="N8" s="80" t="s">
        <v>105</v>
      </c>
      <c r="O8" s="81"/>
      <c r="P8" s="81"/>
      <c r="Q8" s="81"/>
      <c r="R8" s="81"/>
      <c r="S8" s="82"/>
      <c r="T8" s="117">
        <v>2</v>
      </c>
    </row>
    <row r="9" spans="1:22">
      <c r="A9" s="83" t="s">
        <v>80</v>
      </c>
      <c r="B9" s="84"/>
      <c r="C9" s="102">
        <v>0.19600000000000001</v>
      </c>
      <c r="D9" s="104"/>
      <c r="G9" s="107">
        <v>0</v>
      </c>
      <c r="H9" s="108">
        <v>0</v>
      </c>
      <c r="I9" s="107">
        <v>1</v>
      </c>
      <c r="J9" s="108">
        <v>0</v>
      </c>
      <c r="K9" s="107">
        <v>0</v>
      </c>
      <c r="L9" s="84">
        <v>0</v>
      </c>
      <c r="N9" s="80" t="s">
        <v>107</v>
      </c>
      <c r="O9" s="81"/>
      <c r="P9" s="81"/>
      <c r="Q9" s="81"/>
      <c r="R9" s="81"/>
      <c r="S9" s="82"/>
      <c r="T9" s="117">
        <v>1</v>
      </c>
    </row>
    <row r="10" spans="1:22">
      <c r="A10" s="83" t="s">
        <v>78</v>
      </c>
      <c r="B10" s="84"/>
      <c r="C10" s="102">
        <v>0</v>
      </c>
      <c r="D10" s="104"/>
      <c r="G10" s="107">
        <v>0</v>
      </c>
      <c r="H10" s="108">
        <v>0</v>
      </c>
      <c r="I10" s="107">
        <v>1</v>
      </c>
      <c r="J10" s="108">
        <v>0</v>
      </c>
      <c r="K10" s="107">
        <v>0</v>
      </c>
      <c r="L10" s="84">
        <v>0</v>
      </c>
      <c r="N10" s="80" t="s">
        <v>108</v>
      </c>
      <c r="O10" s="81"/>
      <c r="P10" s="81"/>
      <c r="Q10" s="81"/>
      <c r="R10" s="81"/>
      <c r="S10" s="82"/>
      <c r="T10" s="117">
        <v>2</v>
      </c>
    </row>
    <row r="11" spans="1:22">
      <c r="A11" s="83" t="s">
        <v>79</v>
      </c>
      <c r="B11" s="84"/>
      <c r="C11" s="102">
        <v>0</v>
      </c>
      <c r="D11" s="104"/>
      <c r="G11" s="107">
        <v>0</v>
      </c>
      <c r="H11" s="108">
        <v>0</v>
      </c>
      <c r="I11" s="107">
        <v>1</v>
      </c>
      <c r="J11" s="108">
        <v>0</v>
      </c>
      <c r="K11" s="107">
        <v>0</v>
      </c>
      <c r="L11" s="84">
        <v>0</v>
      </c>
      <c r="N11" s="80" t="s">
        <v>110</v>
      </c>
      <c r="O11" s="81"/>
      <c r="P11" s="81"/>
      <c r="Q11" s="81"/>
      <c r="R11" s="81"/>
      <c r="S11" s="82"/>
      <c r="T11" s="117">
        <v>2</v>
      </c>
    </row>
    <row r="12" spans="1:22">
      <c r="A12" s="83" t="s">
        <v>558</v>
      </c>
      <c r="B12" s="84"/>
      <c r="C12" s="102">
        <v>0</v>
      </c>
      <c r="D12" s="104"/>
      <c r="G12" s="107">
        <v>0</v>
      </c>
      <c r="H12" s="108">
        <v>0</v>
      </c>
      <c r="I12" s="107">
        <v>1</v>
      </c>
      <c r="J12" s="108">
        <v>0</v>
      </c>
      <c r="K12" s="107">
        <v>0</v>
      </c>
      <c r="L12" s="84">
        <v>0</v>
      </c>
    </row>
    <row r="13" spans="1:22" ht="13.8" thickBot="1">
      <c r="A13" s="90" t="s">
        <v>559</v>
      </c>
      <c r="B13" s="91"/>
      <c r="C13" s="859"/>
      <c r="D13" s="860"/>
      <c r="E13" s="861"/>
      <c r="F13" s="861"/>
      <c r="G13" s="862">
        <v>0</v>
      </c>
      <c r="H13" s="863">
        <v>0</v>
      </c>
      <c r="I13" s="862">
        <v>1</v>
      </c>
      <c r="J13" s="863">
        <v>0</v>
      </c>
      <c r="K13" s="862">
        <v>0</v>
      </c>
      <c r="L13" s="91">
        <v>0</v>
      </c>
    </row>
    <row r="14" spans="1:22" ht="13.8" thickBot="1">
      <c r="A14" s="77" t="s">
        <v>81</v>
      </c>
      <c r="B14" s="78"/>
      <c r="C14" s="79"/>
      <c r="D14" t="s">
        <v>37</v>
      </c>
      <c r="G14" s="89" t="s">
        <v>82</v>
      </c>
      <c r="H14" s="108" t="s">
        <v>66</v>
      </c>
      <c r="I14" s="89" t="s">
        <v>67</v>
      </c>
      <c r="J14" s="108" t="s">
        <v>66</v>
      </c>
      <c r="K14" s="89" t="s">
        <v>68</v>
      </c>
      <c r="L14" s="108" t="s">
        <v>66</v>
      </c>
      <c r="P14" s="109">
        <v>34335</v>
      </c>
      <c r="Q14" s="109">
        <v>35125</v>
      </c>
      <c r="R14" s="109">
        <v>35855</v>
      </c>
      <c r="S14" s="109">
        <v>39083</v>
      </c>
      <c r="T14" s="109">
        <v>39692</v>
      </c>
      <c r="U14" s="109">
        <v>39995</v>
      </c>
      <c r="V14" s="110">
        <v>40299</v>
      </c>
    </row>
    <row r="15" spans="1:22">
      <c r="A15" s="864" t="s">
        <v>83</v>
      </c>
      <c r="B15" s="865"/>
      <c r="C15" s="866">
        <v>0.19600000000000001</v>
      </c>
      <c r="D15" s="867"/>
      <c r="E15" s="854"/>
      <c r="F15" s="854"/>
      <c r="G15" s="868">
        <v>0.5</v>
      </c>
      <c r="H15" s="869">
        <v>0</v>
      </c>
      <c r="I15" s="868">
        <v>0.5</v>
      </c>
      <c r="J15" s="869">
        <v>6</v>
      </c>
      <c r="K15" s="868">
        <v>0</v>
      </c>
      <c r="L15" s="865">
        <v>0</v>
      </c>
      <c r="N15" s="87" t="s">
        <v>194</v>
      </c>
      <c r="O15" s="88"/>
      <c r="P15" s="111">
        <v>5.7999999999999996E-3</v>
      </c>
      <c r="Q15" s="111">
        <v>5.0000000000000001E-3</v>
      </c>
      <c r="R15" s="111">
        <v>4.1999999999999997E-3</v>
      </c>
      <c r="S15" s="111">
        <v>5.4999999999999997E-3</v>
      </c>
      <c r="T15" s="111">
        <v>5.8300000000000001E-3</v>
      </c>
      <c r="U15" s="111">
        <v>5.2500000000000003E-3</v>
      </c>
      <c r="V15" s="112">
        <v>4.1700000000000001E-3</v>
      </c>
    </row>
    <row r="16" spans="1:22">
      <c r="A16" s="83" t="s">
        <v>84</v>
      </c>
      <c r="B16" s="84"/>
      <c r="C16" s="102">
        <v>0.19600000000000001</v>
      </c>
      <c r="D16" s="104"/>
      <c r="E16" s="870"/>
      <c r="G16" s="107">
        <v>0.2</v>
      </c>
      <c r="H16" s="108">
        <v>0</v>
      </c>
      <c r="I16" s="107">
        <v>0.8</v>
      </c>
      <c r="J16" s="108">
        <v>6</v>
      </c>
      <c r="K16" s="107">
        <v>0</v>
      </c>
      <c r="L16" s="84">
        <v>0</v>
      </c>
      <c r="N16" s="89"/>
      <c r="P16" s="113"/>
      <c r="Q16" s="113"/>
      <c r="R16" s="113"/>
      <c r="S16" s="113"/>
      <c r="T16" s="113"/>
      <c r="U16" s="113"/>
      <c r="V16" s="114"/>
    </row>
    <row r="17" spans="1:22">
      <c r="A17" s="83" t="s">
        <v>423</v>
      </c>
      <c r="B17" s="84"/>
      <c r="C17" s="102">
        <v>0.19600000000000001</v>
      </c>
      <c r="D17" s="104"/>
      <c r="E17" s="870"/>
      <c r="G17" s="107">
        <v>0.3</v>
      </c>
      <c r="H17" s="108">
        <v>1</v>
      </c>
      <c r="I17" s="107">
        <v>0.7</v>
      </c>
      <c r="J17" s="108">
        <v>6</v>
      </c>
      <c r="K17" s="107">
        <v>0</v>
      </c>
      <c r="L17" s="84">
        <v>0</v>
      </c>
      <c r="N17" s="92" t="s">
        <v>195</v>
      </c>
      <c r="O17" s="93"/>
      <c r="P17" s="115">
        <v>3.8E-3</v>
      </c>
      <c r="Q17" s="115">
        <v>3.8E-3</v>
      </c>
      <c r="R17" s="115">
        <v>3.8E-3</v>
      </c>
      <c r="S17" s="115">
        <v>5.5999999999999999E-3</v>
      </c>
      <c r="T17" s="115">
        <v>4.1700000000000001E-3</v>
      </c>
      <c r="U17" s="115">
        <v>3.5799999999999998E-3</v>
      </c>
      <c r="V17" s="116">
        <v>2.5000000000000001E-3</v>
      </c>
    </row>
    <row r="18" spans="1:22">
      <c r="A18" s="83" t="s">
        <v>85</v>
      </c>
      <c r="B18" s="84"/>
      <c r="C18" s="102">
        <v>0.19600000000000001</v>
      </c>
      <c r="D18" s="104"/>
      <c r="E18" s="870"/>
      <c r="G18" s="107">
        <v>0</v>
      </c>
      <c r="H18" s="108">
        <v>0</v>
      </c>
      <c r="I18" s="107">
        <v>0.9</v>
      </c>
      <c r="J18" s="108">
        <v>6</v>
      </c>
      <c r="K18" s="107">
        <v>0.1</v>
      </c>
      <c r="L18" s="84">
        <v>18</v>
      </c>
    </row>
    <row r="19" spans="1:22">
      <c r="A19" s="83" t="s">
        <v>86</v>
      </c>
      <c r="B19" s="84"/>
      <c r="C19" s="102">
        <v>0.19600000000000001</v>
      </c>
      <c r="D19" s="104"/>
      <c r="E19" s="870"/>
      <c r="G19" s="107">
        <v>0.7</v>
      </c>
      <c r="H19" s="108">
        <v>0</v>
      </c>
      <c r="I19" s="107">
        <v>0.3</v>
      </c>
      <c r="J19" s="108">
        <v>6</v>
      </c>
      <c r="K19" s="107">
        <v>0</v>
      </c>
      <c r="L19" s="84">
        <v>0</v>
      </c>
    </row>
    <row r="20" spans="1:22">
      <c r="A20" s="83" t="s">
        <v>87</v>
      </c>
      <c r="B20" s="84"/>
      <c r="C20" s="102">
        <v>0.19600000000000001</v>
      </c>
      <c r="D20" s="104"/>
      <c r="E20" s="870"/>
      <c r="G20" s="107">
        <v>0</v>
      </c>
      <c r="H20" s="108">
        <v>0</v>
      </c>
      <c r="I20" s="107">
        <v>1</v>
      </c>
      <c r="J20" s="108">
        <v>0</v>
      </c>
      <c r="K20" s="107">
        <v>0</v>
      </c>
      <c r="L20" s="84">
        <v>0</v>
      </c>
      <c r="P20" s="94" t="s">
        <v>29</v>
      </c>
      <c r="Q20" s="94" t="s">
        <v>30</v>
      </c>
      <c r="R20" s="94" t="s">
        <v>31</v>
      </c>
      <c r="S20" s="94" t="s">
        <v>32</v>
      </c>
      <c r="T20" s="94" t="s">
        <v>33</v>
      </c>
      <c r="U20" s="94" t="s">
        <v>34</v>
      </c>
      <c r="V20" s="94" t="s">
        <v>35</v>
      </c>
    </row>
    <row r="21" spans="1:22">
      <c r="A21" s="83" t="s">
        <v>467</v>
      </c>
      <c r="B21" s="84"/>
      <c r="C21" s="102">
        <v>0.19600000000000001</v>
      </c>
      <c r="D21" s="104"/>
      <c r="G21" s="107">
        <v>0</v>
      </c>
      <c r="H21" s="108">
        <v>0</v>
      </c>
      <c r="I21" s="107">
        <v>1</v>
      </c>
      <c r="J21" s="108">
        <v>0</v>
      </c>
      <c r="K21" s="107">
        <v>0</v>
      </c>
      <c r="L21" s="84">
        <v>0</v>
      </c>
      <c r="N21" s="95" t="s">
        <v>24</v>
      </c>
      <c r="O21" s="96"/>
      <c r="P21" s="118">
        <v>0.35</v>
      </c>
      <c r="Q21" s="118">
        <v>0.55000000000000004</v>
      </c>
      <c r="R21" s="118">
        <v>0.65</v>
      </c>
      <c r="S21" s="118">
        <v>0.7</v>
      </c>
      <c r="T21" s="118">
        <v>0.85</v>
      </c>
      <c r="U21" s="118">
        <v>0.9</v>
      </c>
      <c r="V21" s="118">
        <v>1</v>
      </c>
    </row>
    <row r="22" spans="1:22" ht="13.8" thickBot="1">
      <c r="A22" s="90" t="s">
        <v>480</v>
      </c>
      <c r="B22" s="91"/>
      <c r="C22" s="871">
        <v>0.19600000000000001</v>
      </c>
      <c r="D22" s="860"/>
      <c r="E22" s="861"/>
      <c r="F22" s="861"/>
      <c r="G22" s="862">
        <v>0</v>
      </c>
      <c r="H22" s="863">
        <v>0</v>
      </c>
      <c r="I22" s="862">
        <v>1</v>
      </c>
      <c r="J22" s="863">
        <v>0</v>
      </c>
      <c r="K22" s="862">
        <v>0</v>
      </c>
      <c r="L22" s="91">
        <v>0</v>
      </c>
      <c r="N22" s="97" t="s">
        <v>25</v>
      </c>
      <c r="O22" s="98" t="s">
        <v>196</v>
      </c>
      <c r="P22" s="118">
        <v>9.5000000000000001E-2</v>
      </c>
      <c r="Q22" s="118">
        <v>0.28499999999999998</v>
      </c>
      <c r="R22" s="118">
        <v>0.47499999999999998</v>
      </c>
      <c r="S22" s="118">
        <v>0.56999999999999995</v>
      </c>
      <c r="T22" s="118">
        <v>0.76</v>
      </c>
      <c r="U22" s="118">
        <v>0.85499999999999998</v>
      </c>
      <c r="V22" s="118">
        <v>0.95</v>
      </c>
    </row>
    <row r="23" spans="1:22">
      <c r="N23" s="99"/>
      <c r="O23" s="98" t="s">
        <v>197</v>
      </c>
      <c r="P23" s="118">
        <v>9.7000000000000003E-2</v>
      </c>
      <c r="Q23" s="118">
        <v>0.29099999999999998</v>
      </c>
      <c r="R23" s="118">
        <v>0.48499999999999999</v>
      </c>
      <c r="S23" s="118">
        <v>0.58199999999999996</v>
      </c>
      <c r="T23" s="118">
        <v>0.77600000000000002</v>
      </c>
      <c r="U23" s="118">
        <v>0.873</v>
      </c>
      <c r="V23" s="118">
        <v>0.97</v>
      </c>
    </row>
  </sheetData>
  <customSheetViews>
    <customSheetView guid="{185B1D6B-988C-4819-B119-9DBF81846F69}" showGridLines="0" state="hidden" showRuler="0">
      <selection activeCell="G26" sqref="G26"/>
      <pageMargins left="0.78740157499999996" right="0.78740157499999996" top="0.984251969" bottom="0.984251969" header="0.4921259845" footer="0.4921259845"/>
      <pageSetup orientation="portrait" horizontalDpi="300" verticalDpi="300" r:id="rId1"/>
      <headerFooter alignWithMargins="0">
        <oddHeader>&amp;F</oddHeader>
        <oddFooter>Page &amp;P</oddFooter>
      </headerFooter>
    </customSheetView>
  </customSheetViews>
  <phoneticPr fontId="16" type="noConversion"/>
  <printOptions gridLinesSet="0"/>
  <pageMargins left="0.78740157499999996" right="0.78740157499999996" top="0.984251969" bottom="0.984251969" header="0.4921259845" footer="0.4921259845"/>
  <pageSetup orientation="portrait" horizontalDpi="300" verticalDpi="300" r:id="rId2"/>
  <headerFooter alignWithMargins="0">
    <oddHeader>&amp;F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>
    <pageSetUpPr fitToPage="1"/>
  </sheetPr>
  <dimension ref="A1:BS240"/>
  <sheetViews>
    <sheetView showGridLines="0" tabSelected="1" zoomScaleNormal="100" workbookViewId="0">
      <pane ySplit="4" topLeftCell="A5" activePane="bottomLeft" state="frozenSplit"/>
      <selection pane="bottomLeft" activeCell="G2" sqref="G2"/>
    </sheetView>
  </sheetViews>
  <sheetFormatPr baseColWidth="10" defaultColWidth="11.44140625" defaultRowHeight="13.2"/>
  <cols>
    <col min="1" max="1" width="2.109375" style="553" customWidth="1"/>
    <col min="2" max="2" width="17.6640625" style="434" customWidth="1"/>
    <col min="3" max="3" width="11.44140625" style="435"/>
    <col min="4" max="4" width="10.6640625" style="434" customWidth="1"/>
    <col min="5" max="7" width="11.44140625" style="434"/>
    <col min="8" max="8" width="7.33203125" style="434" customWidth="1"/>
    <col min="9" max="9" width="8.5546875" style="434" bestFit="1" customWidth="1"/>
    <col min="10" max="10" width="8.109375" style="434" customWidth="1"/>
    <col min="11" max="12" width="9" style="434" customWidth="1"/>
    <col min="13" max="13" width="11.44140625" style="434"/>
    <col min="14" max="14" width="1.109375" style="434" customWidth="1"/>
    <col min="15" max="15" width="4.109375" style="434" customWidth="1"/>
    <col min="16" max="16" width="7.44140625" style="434" customWidth="1"/>
    <col min="17" max="17" width="8.88671875" style="442" customWidth="1"/>
    <col min="18" max="18" width="7.33203125" style="434" customWidth="1"/>
    <col min="19" max="19" width="7.88671875" style="442" customWidth="1"/>
    <col min="20" max="21" width="7.88671875" style="434" customWidth="1"/>
    <col min="22" max="22" width="7.5546875" style="434" customWidth="1"/>
    <col min="23" max="23" width="6.6640625" style="434" customWidth="1"/>
    <col min="24" max="27" width="8" style="434" customWidth="1"/>
    <col min="28" max="28" width="1.33203125" style="434" customWidth="1"/>
    <col min="29" max="33" width="7.109375" style="434" customWidth="1"/>
    <col min="34" max="34" width="11.44140625" style="434"/>
    <col min="35" max="35" width="11.44140625" style="443"/>
    <col min="36" max="36" width="11.44140625" style="444"/>
    <col min="37" max="38" width="11.44140625" style="434"/>
    <col min="39" max="39" width="3" style="434" customWidth="1"/>
    <col min="40" max="40" width="60" style="434" customWidth="1"/>
    <col min="41" max="41" width="16.33203125" style="434" bestFit="1" customWidth="1"/>
    <col min="42" max="42" width="16.109375" style="434" bestFit="1" customWidth="1"/>
    <col min="43" max="43" width="9.33203125" style="434" bestFit="1" customWidth="1"/>
    <col min="44" max="44" width="9" style="434" customWidth="1"/>
    <col min="45" max="45" width="5.5546875" style="434" customWidth="1"/>
    <col min="46" max="46" width="3.88671875" style="434" customWidth="1"/>
    <col min="47" max="47" width="10.33203125" style="434" bestFit="1" customWidth="1"/>
    <col min="48" max="48" width="7.44140625" style="434" customWidth="1"/>
    <col min="49" max="49" width="4.5546875" style="434" customWidth="1"/>
    <col min="50" max="50" width="8.88671875" style="434" customWidth="1"/>
    <col min="51" max="51" width="8.6640625" style="434" customWidth="1"/>
    <col min="52" max="52" width="8.44140625" style="434" customWidth="1"/>
    <col min="53" max="53" width="31.5546875" style="434" bestFit="1" customWidth="1"/>
    <col min="54" max="54" width="11.44140625" style="434"/>
    <col min="55" max="55" width="11.44140625" style="434" hidden="1" customWidth="1"/>
    <col min="56" max="56" width="11.44140625" style="434"/>
    <col min="57" max="57" width="34" style="434" bestFit="1" customWidth="1"/>
    <col min="58" max="58" width="11.44140625" style="434"/>
    <col min="59" max="59" width="15.6640625" style="434" customWidth="1"/>
    <col min="60" max="60" width="12.6640625" style="434" customWidth="1"/>
    <col min="61" max="61" width="14.6640625" style="434" customWidth="1"/>
    <col min="62" max="62" width="13.44140625" style="434" bestFit="1" customWidth="1"/>
    <col min="63" max="63" width="14.6640625" style="434" customWidth="1"/>
    <col min="64" max="16384" width="11.44140625" style="434"/>
  </cols>
  <sheetData>
    <row r="1" spans="2:55">
      <c r="D1" s="436"/>
      <c r="E1" s="437" t="s">
        <v>227</v>
      </c>
      <c r="F1" s="808"/>
      <c r="G1" s="438">
        <f>PVTOT_TTC</f>
        <v>4496</v>
      </c>
      <c r="H1" s="439" t="s">
        <v>507</v>
      </c>
      <c r="I1" s="440" t="str">
        <f>C6</f>
        <v>Briscous</v>
      </c>
      <c r="J1" s="441"/>
      <c r="K1" s="436"/>
      <c r="L1" s="436"/>
      <c r="M1" s="436"/>
      <c r="N1" s="435"/>
    </row>
    <row r="2" spans="2:55" ht="14.4" thickBot="1">
      <c r="D2" s="436"/>
      <c r="E2" s="445" t="s">
        <v>228</v>
      </c>
      <c r="F2" s="890"/>
      <c r="G2" s="446">
        <f>MARGTOT_HT</f>
        <v>151</v>
      </c>
      <c r="H2" s="447" t="s">
        <v>173</v>
      </c>
      <c r="I2" s="448" t="str">
        <f>E6</f>
        <v xml:space="preserve"> </v>
      </c>
      <c r="J2" s="449"/>
      <c r="K2" s="436"/>
      <c r="L2" s="436"/>
      <c r="M2" s="1247" t="str">
        <f>IF(Monnaie = "Francs","Montants en KF","Montants en KEuros")</f>
        <v>Montants en KEuros</v>
      </c>
      <c r="N2" s="1247"/>
      <c r="O2" s="1247"/>
      <c r="P2" s="1247"/>
    </row>
    <row r="3" spans="2:55" ht="13.8" thickBot="1">
      <c r="D3" s="436"/>
      <c r="E3" s="445" t="s">
        <v>229</v>
      </c>
      <c r="F3" s="890"/>
      <c r="G3" s="450">
        <f>POURMARG_HT</f>
        <v>4.0309663641217297E-2</v>
      </c>
      <c r="H3" s="451">
        <f>IF(AW109&gt;0,"UNE LIGNE EST EN ERREUR",)</f>
        <v>0</v>
      </c>
      <c r="I3" s="452" t="str">
        <f>IF(AX27&gt;0,"UN COUT LOGEMENT EST EN ERREUR"," ")</f>
        <v xml:space="preserve"> </v>
      </c>
      <c r="J3" s="436"/>
      <c r="K3" s="436"/>
      <c r="L3" s="436"/>
      <c r="M3" s="436"/>
      <c r="N3" s="442"/>
      <c r="AE3" s="453"/>
    </row>
    <row r="4" spans="2:55" ht="13.8" thickBot="1">
      <c r="E4" s="454" t="s">
        <v>230</v>
      </c>
      <c r="F4" s="891"/>
      <c r="G4" s="455">
        <f>SURF_HABIT</f>
        <v>1475.26</v>
      </c>
      <c r="H4" s="456" t="s">
        <v>231</v>
      </c>
      <c r="I4" s="457">
        <f>Q25</f>
        <v>0.95337179487179491</v>
      </c>
      <c r="J4" s="458" t="s">
        <v>232</v>
      </c>
      <c r="K4" s="459">
        <f>NB_LOGT</f>
        <v>22</v>
      </c>
      <c r="L4" s="901"/>
      <c r="M4" s="436"/>
    </row>
    <row r="5" spans="2:55">
      <c r="B5" s="460" t="s">
        <v>255</v>
      </c>
      <c r="C5" s="461" t="s">
        <v>587</v>
      </c>
      <c r="D5" s="462" t="s">
        <v>202</v>
      </c>
      <c r="E5" s="463">
        <v>43981</v>
      </c>
      <c r="F5" s="892"/>
      <c r="G5" s="464"/>
      <c r="H5" s="464"/>
      <c r="I5" s="464"/>
      <c r="J5" s="464"/>
      <c r="K5" s="464"/>
      <c r="L5" s="464"/>
      <c r="M5" s="464"/>
      <c r="N5" s="464"/>
      <c r="AX5" s="465"/>
    </row>
    <row r="6" spans="2:55" ht="13.8" thickBot="1">
      <c r="B6" s="466" t="s">
        <v>253</v>
      </c>
      <c r="C6" s="467" t="s">
        <v>591</v>
      </c>
      <c r="D6" s="468" t="s">
        <v>173</v>
      </c>
      <c r="E6" s="469" t="s">
        <v>169</v>
      </c>
      <c r="F6" s="485"/>
    </row>
    <row r="7" spans="2:55" ht="13.8" thickBot="1">
      <c r="B7" s="470" t="s">
        <v>272</v>
      </c>
      <c r="C7" s="469"/>
      <c r="D7" s="471"/>
    </row>
    <row r="8" spans="2:55" ht="13.8" thickBot="1">
      <c r="B8" s="439" t="s">
        <v>504</v>
      </c>
      <c r="C8" s="461">
        <v>1560</v>
      </c>
      <c r="D8" s="472" t="s">
        <v>506</v>
      </c>
      <c r="E8" s="473">
        <v>1560</v>
      </c>
      <c r="F8" s="485"/>
    </row>
    <row r="9" spans="2:55" ht="13.8" thickBot="1">
      <c r="B9" s="447" t="s">
        <v>505</v>
      </c>
      <c r="C9" s="469">
        <v>4778</v>
      </c>
      <c r="D9" s="471"/>
      <c r="AO9" s="474"/>
    </row>
    <row r="10" spans="2:55" ht="13.8" thickBot="1">
      <c r="B10" s="471"/>
      <c r="C10" s="434"/>
      <c r="D10" s="471"/>
      <c r="AM10" s="434">
        <v>27</v>
      </c>
      <c r="AN10" s="475">
        <v>6</v>
      </c>
      <c r="AU10" s="434" t="s">
        <v>234</v>
      </c>
      <c r="AV10" s="434" t="s">
        <v>234</v>
      </c>
    </row>
    <row r="11" spans="2:55" ht="12.75" customHeight="1" thickBot="1">
      <c r="B11" s="476" t="s">
        <v>235</v>
      </c>
      <c r="C11" s="477"/>
      <c r="D11" s="478"/>
      <c r="E11" s="479"/>
      <c r="F11" s="479"/>
      <c r="G11" s="480" t="s">
        <v>236</v>
      </c>
      <c r="H11" s="481"/>
      <c r="I11" s="915">
        <v>8</v>
      </c>
      <c r="J11" s="436"/>
      <c r="K11" s="436"/>
      <c r="L11" s="436"/>
      <c r="M11" s="436"/>
      <c r="N11" s="482"/>
      <c r="O11" s="436"/>
      <c r="P11" s="436"/>
      <c r="Q11" s="436"/>
      <c r="R11" s="436"/>
      <c r="S11" s="436"/>
      <c r="AC11" s="436"/>
      <c r="AD11" s="436"/>
      <c r="AE11" s="436"/>
      <c r="AF11" s="436"/>
      <c r="AG11" s="436"/>
      <c r="AI11" s="444" t="s">
        <v>223</v>
      </c>
      <c r="AJ11" s="444" t="str">
        <f>IF(Monnaie="Francs","F","€")</f>
        <v>€</v>
      </c>
      <c r="AK11" s="434" t="s">
        <v>237</v>
      </c>
      <c r="AM11" s="483" t="s">
        <v>238</v>
      </c>
      <c r="AN11" s="484" t="s">
        <v>239</v>
      </c>
      <c r="AO11" s="484" t="s">
        <v>240</v>
      </c>
      <c r="AP11" s="434" t="s">
        <v>241</v>
      </c>
      <c r="AQ11" s="434" t="s">
        <v>242</v>
      </c>
      <c r="AR11" s="434" t="s">
        <v>243</v>
      </c>
      <c r="AS11" s="483"/>
      <c r="AT11" s="483"/>
      <c r="AU11" s="483">
        <v>13</v>
      </c>
      <c r="AV11" s="483">
        <v>15</v>
      </c>
      <c r="AW11" s="483"/>
      <c r="AZ11" s="436"/>
      <c r="BC11" s="485">
        <v>2</v>
      </c>
    </row>
    <row r="12" spans="2:55" ht="12" customHeight="1" thickBot="1">
      <c r="B12" s="486" t="s">
        <v>244</v>
      </c>
      <c r="C12" s="487"/>
      <c r="D12" s="488"/>
      <c r="E12" s="479"/>
      <c r="F12" s="479"/>
      <c r="G12" s="489" t="s">
        <v>245</v>
      </c>
      <c r="H12" s="490"/>
      <c r="I12" s="491"/>
      <c r="J12" s="436"/>
      <c r="K12" s="436"/>
      <c r="L12" s="436"/>
      <c r="M12" s="436"/>
      <c r="N12" s="436"/>
      <c r="O12" s="436"/>
      <c r="P12" s="436"/>
      <c r="Q12" s="436"/>
      <c r="R12" s="436"/>
      <c r="S12" s="436"/>
      <c r="AC12" s="436"/>
      <c r="AD12" s="436"/>
      <c r="AE12" s="436"/>
      <c r="AF12" s="436"/>
      <c r="AG12" s="436"/>
      <c r="AK12" s="492">
        <f>1+(C13/100)</f>
        <v>1.196</v>
      </c>
      <c r="AM12" s="483" t="s">
        <v>246</v>
      </c>
      <c r="AN12" s="434" t="s">
        <v>247</v>
      </c>
      <c r="AO12" s="493">
        <v>100</v>
      </c>
      <c r="AP12" s="494">
        <f>AO12*COEF_SHON_LGT</f>
        <v>100</v>
      </c>
      <c r="AQ12" s="434">
        <v>0</v>
      </c>
      <c r="AR12" s="494">
        <f>AO12*COEF_SHON_AUT</f>
        <v>0</v>
      </c>
      <c r="AS12" s="483"/>
      <c r="AT12" s="483"/>
      <c r="AU12" s="483"/>
      <c r="AV12" s="483"/>
      <c r="AW12" s="483"/>
      <c r="AZ12" s="436"/>
    </row>
    <row r="13" spans="2:55" ht="15.75" customHeight="1" thickBot="1">
      <c r="B13" s="918" t="s">
        <v>501</v>
      </c>
      <c r="C13" s="919">
        <v>19.600000000000001</v>
      </c>
      <c r="D13" s="495" t="s">
        <v>115</v>
      </c>
      <c r="E13" s="483"/>
      <c r="F13" s="483"/>
      <c r="G13" s="496" t="str">
        <f>"1 = K" &amp; Sigle_Monnaie &amp; " PAR NB   2 = " &amp; Sigle_Monnaie &amp; " PAR M2"</f>
        <v>1 = K€ PAR NB   2 = € PAR M2</v>
      </c>
      <c r="H13" s="483"/>
      <c r="I13" s="436"/>
      <c r="J13" s="436"/>
      <c r="K13" s="436"/>
      <c r="L13" s="436"/>
      <c r="M13" s="436"/>
      <c r="N13" s="436"/>
      <c r="O13" s="436"/>
      <c r="P13" s="436"/>
      <c r="Q13" s="436"/>
      <c r="R13" s="436"/>
      <c r="S13" s="436"/>
      <c r="AC13" s="436"/>
      <c r="AD13" s="436"/>
      <c r="AE13" s="436"/>
      <c r="AF13" s="436"/>
      <c r="AG13" s="436"/>
      <c r="AM13" s="483" t="s">
        <v>248</v>
      </c>
      <c r="AN13" s="434" t="s">
        <v>249</v>
      </c>
      <c r="AO13" s="493">
        <f>TERRHT</f>
        <v>420</v>
      </c>
      <c r="AP13" s="494">
        <f>AO13*COEF_SHON_LGT</f>
        <v>420</v>
      </c>
      <c r="AQ13" s="434">
        <v>0</v>
      </c>
      <c r="AR13" s="434">
        <f>AO13*COEF_SHON_AUT</f>
        <v>0</v>
      </c>
      <c r="AS13" s="483"/>
      <c r="AT13" s="483"/>
      <c r="AU13" s="434" t="s">
        <v>250</v>
      </c>
      <c r="AV13" s="434" t="s">
        <v>250</v>
      </c>
      <c r="AW13" s="483"/>
      <c r="AZ13" s="436"/>
    </row>
    <row r="14" spans="2:55" ht="14.1" customHeight="1" thickBot="1">
      <c r="B14" s="497" t="s">
        <v>251</v>
      </c>
      <c r="C14" s="498"/>
      <c r="D14" s="498"/>
      <c r="E14" s="499"/>
      <c r="F14" s="499"/>
      <c r="G14" s="499"/>
      <c r="H14" s="499"/>
      <c r="I14" s="500" t="s">
        <v>252</v>
      </c>
      <c r="J14" s="501"/>
      <c r="K14" s="501"/>
      <c r="L14" s="501"/>
      <c r="M14" s="502"/>
      <c r="N14" s="436"/>
      <c r="O14" s="503" t="s">
        <v>253</v>
      </c>
      <c r="P14" s="504"/>
      <c r="Q14" s="505" t="str">
        <f>C6</f>
        <v>Briscous</v>
      </c>
      <c r="R14" s="506"/>
      <c r="S14" s="507"/>
      <c r="T14" s="508" t="s">
        <v>254</v>
      </c>
      <c r="U14" s="509"/>
      <c r="V14" s="509"/>
      <c r="W14" s="509"/>
      <c r="X14" s="509"/>
      <c r="Y14" s="509"/>
      <c r="Z14" s="509"/>
      <c r="AA14" s="509"/>
      <c r="AB14" s="509"/>
      <c r="AC14" s="510" t="s">
        <v>255</v>
      </c>
      <c r="AD14" s="511"/>
      <c r="AE14" s="505" t="str">
        <f>C5</f>
        <v>JG</v>
      </c>
      <c r="AF14" s="506"/>
      <c r="AG14" s="512"/>
      <c r="AM14" s="483" t="s">
        <v>256</v>
      </c>
      <c r="AN14" s="434" t="s">
        <v>474</v>
      </c>
      <c r="AO14" s="493">
        <f>AI65</f>
        <v>2226</v>
      </c>
      <c r="AP14" s="494">
        <f>AN65</f>
        <v>2226</v>
      </c>
      <c r="AQ14" s="494">
        <f>AO65</f>
        <v>0</v>
      </c>
      <c r="AR14" s="494">
        <f>AP65</f>
        <v>0</v>
      </c>
      <c r="AS14" s="483"/>
      <c r="AT14" s="483"/>
      <c r="AU14" s="434" t="s">
        <v>257</v>
      </c>
      <c r="AV14" s="434" t="s">
        <v>257</v>
      </c>
      <c r="AW14" s="483"/>
      <c r="AZ14" s="436"/>
    </row>
    <row r="15" spans="2:55" ht="12" customHeight="1" thickBot="1">
      <c r="B15" s="513" t="s">
        <v>258</v>
      </c>
      <c r="C15" s="514" t="s">
        <v>259</v>
      </c>
      <c r="D15" s="515" t="s">
        <v>260</v>
      </c>
      <c r="E15" s="516" t="s">
        <v>493</v>
      </c>
      <c r="F15" s="518" t="s">
        <v>492</v>
      </c>
      <c r="G15" s="517" t="s">
        <v>261</v>
      </c>
      <c r="H15" s="899" t="s">
        <v>262</v>
      </c>
      <c r="I15" s="933" t="s">
        <v>298</v>
      </c>
      <c r="J15" s="515" t="s">
        <v>260</v>
      </c>
      <c r="K15" s="516" t="s">
        <v>300</v>
      </c>
      <c r="L15" s="899" t="s">
        <v>492</v>
      </c>
      <c r="M15" s="518" t="s">
        <v>494</v>
      </c>
      <c r="N15" s="519"/>
      <c r="O15" s="520" t="s">
        <v>173</v>
      </c>
      <c r="P15" s="521"/>
      <c r="Q15" s="522" t="str">
        <f>E6</f>
        <v xml:space="preserve"> </v>
      </c>
      <c r="R15" s="523"/>
      <c r="S15" s="524"/>
      <c r="T15" s="525" t="s">
        <v>263</v>
      </c>
      <c r="U15" s="526" t="s">
        <v>264</v>
      </c>
      <c r="V15" s="526" t="s">
        <v>260</v>
      </c>
      <c r="W15" s="526" t="s">
        <v>265</v>
      </c>
      <c r="X15" s="526" t="s">
        <v>266</v>
      </c>
      <c r="Y15" s="526" t="s">
        <v>492</v>
      </c>
      <c r="Z15" s="526" t="s">
        <v>205</v>
      </c>
      <c r="AA15" s="527" t="s">
        <v>267</v>
      </c>
      <c r="AB15" s="508"/>
      <c r="AC15" s="528" t="s">
        <v>268</v>
      </c>
      <c r="AD15" s="529"/>
      <c r="AE15" s="530">
        <f>E5</f>
        <v>43981</v>
      </c>
      <c r="AF15" s="523"/>
      <c r="AG15" s="531"/>
      <c r="AK15" s="902" t="s">
        <v>495</v>
      </c>
      <c r="AL15" s="902" t="s">
        <v>496</v>
      </c>
      <c r="AM15" s="483" t="s">
        <v>269</v>
      </c>
      <c r="AN15" s="434" t="s">
        <v>270</v>
      </c>
      <c r="AO15" s="493">
        <f>AI68</f>
        <v>2886</v>
      </c>
      <c r="AP15" s="494">
        <f t="shared" ref="AP15:AR16" si="0">AN68</f>
        <v>2886</v>
      </c>
      <c r="AQ15" s="494">
        <f t="shared" si="0"/>
        <v>0</v>
      </c>
      <c r="AR15" s="494">
        <f t="shared" si="0"/>
        <v>0</v>
      </c>
      <c r="AS15" s="483"/>
      <c r="AT15" s="483"/>
      <c r="AU15" s="532" t="s">
        <v>250</v>
      </c>
      <c r="AV15" s="532" t="s">
        <v>250</v>
      </c>
      <c r="AW15" s="483"/>
      <c r="AZ15" s="436"/>
    </row>
    <row r="16" spans="2:55" ht="13.8" thickBot="1">
      <c r="B16" s="533" t="s">
        <v>547</v>
      </c>
      <c r="C16" s="534"/>
      <c r="D16" s="920"/>
      <c r="E16" s="535"/>
      <c r="F16" s="898"/>
      <c r="G16" s="536">
        <v>0</v>
      </c>
      <c r="H16" s="537"/>
      <c r="I16" s="934" t="s">
        <v>271</v>
      </c>
      <c r="J16" s="922"/>
      <c r="K16" s="538"/>
      <c r="L16" s="900" t="str">
        <f>IF(K16&lt;&gt;0,19.6,"")</f>
        <v/>
      </c>
      <c r="M16" s="539">
        <v>0</v>
      </c>
      <c r="N16" s="436"/>
      <c r="O16" s="540" t="s">
        <v>272</v>
      </c>
      <c r="P16" s="528"/>
      <c r="Q16" s="541">
        <f>C7</f>
        <v>0</v>
      </c>
      <c r="R16" s="509"/>
      <c r="S16" s="542"/>
      <c r="T16" s="543" t="str">
        <f t="shared" ref="T16:T26" si="1">B16</f>
        <v>Collectif</v>
      </c>
      <c r="U16" s="544">
        <f t="shared" ref="U16:U26" si="2">C16</f>
        <v>0</v>
      </c>
      <c r="V16" s="545">
        <f t="shared" ref="V16:V26" si="3">D16</f>
        <v>0</v>
      </c>
      <c r="W16" s="546">
        <f t="shared" ref="W16:W26" si="4">V16*U16</f>
        <v>0</v>
      </c>
      <c r="X16" s="546">
        <f t="shared" ref="X16:X26" si="5">E16</f>
        <v>0</v>
      </c>
      <c r="Y16" s="914">
        <f>F16</f>
        <v>0</v>
      </c>
      <c r="Z16" s="546">
        <f t="shared" ref="Z16:Z26" si="6">X16*V16</f>
        <v>0</v>
      </c>
      <c r="AA16" s="547">
        <f t="shared" ref="AA16:AA26" si="7">IF(W16&lt;&gt;0,Z16/W16*1000,0)</f>
        <v>0</v>
      </c>
      <c r="AB16" s="546"/>
      <c r="AC16" s="548"/>
      <c r="AD16" s="549" t="s">
        <v>273</v>
      </c>
      <c r="AE16" s="550">
        <f ca="1">NOW()</f>
        <v>44544.707698148151</v>
      </c>
      <c r="AF16" s="551">
        <f ca="1">NOW()</f>
        <v>44544.707698148151</v>
      </c>
      <c r="AG16" s="548"/>
      <c r="AI16" s="552" t="s">
        <v>274</v>
      </c>
      <c r="AK16" s="903">
        <f t="shared" ref="AK16:AK26" si="8">IF(Z16&lt;&gt;0,ROUND(Z16 / (1+(F16/100)),0),0)</f>
        <v>0</v>
      </c>
      <c r="AL16" s="904">
        <f>IF(K16&lt;&gt;0,ROUND(K16*J16 / (1+(L16/100)),0),0)</f>
        <v>0</v>
      </c>
      <c r="AM16" s="483" t="s">
        <v>275</v>
      </c>
      <c r="AN16" s="434" t="s">
        <v>276</v>
      </c>
      <c r="AO16" s="493">
        <f>AJ68</f>
        <v>3509</v>
      </c>
      <c r="AP16" s="494">
        <f t="shared" si="0"/>
        <v>3508.8</v>
      </c>
      <c r="AQ16" s="494">
        <f t="shared" si="0"/>
        <v>0</v>
      </c>
      <c r="AR16" s="494">
        <f t="shared" si="0"/>
        <v>0</v>
      </c>
      <c r="AS16" s="483"/>
      <c r="AT16" s="483"/>
      <c r="AU16" s="483" t="s">
        <v>277</v>
      </c>
      <c r="AV16" s="483" t="s">
        <v>277</v>
      </c>
      <c r="AW16" s="483"/>
      <c r="AX16" s="434">
        <f t="shared" ref="AX16:AX26" si="9">IF(AND(G16&lt;&gt;0,OR(H16&gt;2,H16&lt;1)),1,0)</f>
        <v>0</v>
      </c>
      <c r="AY16" s="434">
        <f t="shared" ref="AY16:AY26" si="10">IF(G16&lt;&gt;0,IF(H16=1,G16*D16,G16*C16*D16/1000),0)</f>
        <v>0</v>
      </c>
      <c r="AZ16" s="436"/>
    </row>
    <row r="17" spans="1:52" ht="13.8" thickBot="1">
      <c r="B17" s="533"/>
      <c r="C17" s="534"/>
      <c r="D17" s="920"/>
      <c r="E17" s="535"/>
      <c r="F17" s="898"/>
      <c r="G17" s="536">
        <v>0</v>
      </c>
      <c r="H17" s="537"/>
      <c r="I17" s="935" t="s">
        <v>278</v>
      </c>
      <c r="J17" s="936"/>
      <c r="K17" s="937"/>
      <c r="L17" s="900" t="str">
        <f>IF(K17&lt;&gt;0,19.6,"")</f>
        <v/>
      </c>
      <c r="M17" s="554">
        <v>0</v>
      </c>
      <c r="N17" s="519"/>
      <c r="O17" s="548"/>
      <c r="P17" s="548"/>
      <c r="Q17" s="548"/>
      <c r="R17" s="548"/>
      <c r="S17" s="548"/>
      <c r="T17" s="543">
        <f t="shared" si="1"/>
        <v>0</v>
      </c>
      <c r="U17" s="544">
        <f t="shared" si="2"/>
        <v>0</v>
      </c>
      <c r="V17" s="545">
        <f t="shared" si="3"/>
        <v>0</v>
      </c>
      <c r="W17" s="546">
        <f t="shared" si="4"/>
        <v>0</v>
      </c>
      <c r="X17" s="546">
        <f t="shared" si="5"/>
        <v>0</v>
      </c>
      <c r="Y17" s="914">
        <f t="shared" ref="Y17:Y26" si="11">F17</f>
        <v>0</v>
      </c>
      <c r="Z17" s="546">
        <f t="shared" si="6"/>
        <v>0</v>
      </c>
      <c r="AA17" s="547">
        <f t="shared" si="7"/>
        <v>0</v>
      </c>
      <c r="AB17" s="546"/>
      <c r="AC17" s="508" t="s">
        <v>279</v>
      </c>
      <c r="AD17" s="548"/>
      <c r="AE17" s="548"/>
      <c r="AF17" s="548"/>
      <c r="AG17" s="509"/>
      <c r="AI17" s="555">
        <f>IF(SHON_GLOB&gt;0,SHON_LOGT/SHON_GLOB,0)</f>
        <v>1</v>
      </c>
      <c r="AJ17" s="556">
        <f>1-COEF_SHON_LGT</f>
        <v>0</v>
      </c>
      <c r="AK17" s="905">
        <f t="shared" si="8"/>
        <v>0</v>
      </c>
      <c r="AL17" s="906">
        <f>IF(K17&lt;&gt;0,ROUND(K17 *J17/ (1+(L17/100)),0),0)</f>
        <v>0</v>
      </c>
      <c r="AM17" s="483" t="s">
        <v>280</v>
      </c>
      <c r="AN17" s="434" t="s">
        <v>502</v>
      </c>
      <c r="AO17" s="493">
        <f>AI68+AI70+AI71+AI77+AI84+AI85</f>
        <v>3055</v>
      </c>
      <c r="AP17" s="494">
        <f>AN68+AN70+AN71+AN77+AN84+AN85</f>
        <v>3055.2</v>
      </c>
      <c r="AQ17" s="494">
        <f>AO68+AO70+AO71+AO77+AO84+AO85</f>
        <v>0</v>
      </c>
      <c r="AR17" s="494">
        <f>AP68+AP70+AP71+AP77+AP84+AP85</f>
        <v>0</v>
      </c>
      <c r="AS17" s="483"/>
      <c r="AT17" s="483"/>
      <c r="AU17" s="483" t="s">
        <v>277</v>
      </c>
      <c r="AV17" s="483" t="s">
        <v>277</v>
      </c>
      <c r="AW17" s="483"/>
      <c r="AX17" s="434">
        <f t="shared" si="9"/>
        <v>0</v>
      </c>
      <c r="AY17" s="434">
        <f t="shared" si="10"/>
        <v>0</v>
      </c>
      <c r="AZ17" s="436"/>
    </row>
    <row r="18" spans="1:52" ht="13.8" thickBot="1">
      <c r="B18" s="533" t="s">
        <v>51</v>
      </c>
      <c r="C18" s="534">
        <v>43.23</v>
      </c>
      <c r="D18" s="920">
        <v>4</v>
      </c>
      <c r="E18" s="535">
        <v>133</v>
      </c>
      <c r="F18" s="898">
        <v>20</v>
      </c>
      <c r="G18" s="557">
        <v>0</v>
      </c>
      <c r="H18" s="564"/>
      <c r="I18" s="1250" t="s">
        <v>281</v>
      </c>
      <c r="J18" s="1251"/>
      <c r="K18" s="558"/>
      <c r="L18" s="558"/>
      <c r="M18" s="559"/>
      <c r="N18" s="436"/>
      <c r="O18" s="560"/>
      <c r="P18" s="561"/>
      <c r="Q18" s="562" t="s">
        <v>282</v>
      </c>
      <c r="R18" s="563" t="s">
        <v>283</v>
      </c>
      <c r="S18" s="542"/>
      <c r="T18" s="543" t="str">
        <f t="shared" si="1"/>
        <v>T2</v>
      </c>
      <c r="U18" s="544">
        <f t="shared" si="2"/>
        <v>43.23</v>
      </c>
      <c r="V18" s="545">
        <f t="shared" si="3"/>
        <v>4</v>
      </c>
      <c r="W18" s="546">
        <f t="shared" si="4"/>
        <v>172.92</v>
      </c>
      <c r="X18" s="546">
        <f t="shared" si="5"/>
        <v>133</v>
      </c>
      <c r="Y18" s="914">
        <f t="shared" si="11"/>
        <v>20</v>
      </c>
      <c r="Z18" s="546">
        <f t="shared" si="6"/>
        <v>532</v>
      </c>
      <c r="AA18" s="547">
        <f t="shared" si="7"/>
        <v>3076.5671987046039</v>
      </c>
      <c r="AB18" s="546"/>
      <c r="AC18" s="560"/>
      <c r="AD18" s="561"/>
      <c r="AE18" s="526" t="s">
        <v>260</v>
      </c>
      <c r="AF18" s="526" t="s">
        <v>284</v>
      </c>
      <c r="AG18" s="527" t="s">
        <v>207</v>
      </c>
      <c r="AK18" s="907">
        <f t="shared" si="8"/>
        <v>443</v>
      </c>
      <c r="AL18" s="907">
        <v>0</v>
      </c>
      <c r="AM18" s="483" t="s">
        <v>285</v>
      </c>
      <c r="AN18" s="434" t="s">
        <v>286</v>
      </c>
      <c r="AO18" s="493">
        <f>AJ98</f>
        <v>4104</v>
      </c>
      <c r="AP18" s="494">
        <f>AN99</f>
        <v>4100</v>
      </c>
      <c r="AQ18" s="494">
        <f>AO99</f>
        <v>0</v>
      </c>
      <c r="AR18" s="494">
        <f>AP99</f>
        <v>2.4</v>
      </c>
      <c r="AS18" s="483"/>
      <c r="AT18" s="483"/>
      <c r="AU18" s="483" t="s">
        <v>277</v>
      </c>
      <c r="AV18" s="483" t="s">
        <v>277</v>
      </c>
      <c r="AW18" s="483"/>
      <c r="AX18" s="434">
        <f t="shared" si="9"/>
        <v>0</v>
      </c>
      <c r="AY18" s="434">
        <f t="shared" si="10"/>
        <v>0</v>
      </c>
      <c r="AZ18" s="436"/>
    </row>
    <row r="19" spans="1:52" ht="12.75" customHeight="1" thickBot="1">
      <c r="B19" s="533" t="s">
        <v>53</v>
      </c>
      <c r="C19" s="534">
        <v>63.41</v>
      </c>
      <c r="D19" s="920">
        <v>4</v>
      </c>
      <c r="E19" s="535">
        <v>187</v>
      </c>
      <c r="F19" s="898">
        <v>20</v>
      </c>
      <c r="G19" s="557">
        <v>0</v>
      </c>
      <c r="H19" s="564"/>
      <c r="I19" s="924" t="s">
        <v>287</v>
      </c>
      <c r="J19" s="925"/>
      <c r="K19" s="926">
        <v>0</v>
      </c>
      <c r="L19" s="927" t="str">
        <f>IF(K19&lt;&gt;0,19.6,"")</f>
        <v/>
      </c>
      <c r="M19" s="928">
        <v>0</v>
      </c>
      <c r="N19" s="436"/>
      <c r="O19" s="565" t="s">
        <v>288</v>
      </c>
      <c r="P19" s="508"/>
      <c r="Q19" s="566"/>
      <c r="R19" s="567">
        <f>NB_LOGT</f>
        <v>22</v>
      </c>
      <c r="S19" s="542"/>
      <c r="T19" s="543" t="str">
        <f t="shared" si="1"/>
        <v>T3</v>
      </c>
      <c r="U19" s="544">
        <f t="shared" si="2"/>
        <v>63.41</v>
      </c>
      <c r="V19" s="545">
        <f t="shared" si="3"/>
        <v>4</v>
      </c>
      <c r="W19" s="546">
        <f t="shared" si="4"/>
        <v>253.64</v>
      </c>
      <c r="X19" s="546">
        <f t="shared" si="5"/>
        <v>187</v>
      </c>
      <c r="Y19" s="914">
        <f t="shared" si="11"/>
        <v>20</v>
      </c>
      <c r="Z19" s="546">
        <f t="shared" si="6"/>
        <v>748</v>
      </c>
      <c r="AA19" s="547">
        <f t="shared" si="7"/>
        <v>2949.0616621983918</v>
      </c>
      <c r="AB19" s="546"/>
      <c r="AC19" s="568" t="s">
        <v>289</v>
      </c>
      <c r="AD19" s="509"/>
      <c r="AE19" s="546">
        <f>J16</f>
        <v>0</v>
      </c>
      <c r="AF19" s="546">
        <f>K16*1000</f>
        <v>0</v>
      </c>
      <c r="AG19" s="547">
        <f>J16*K16</f>
        <v>0</v>
      </c>
      <c r="AK19" s="907">
        <f t="shared" si="8"/>
        <v>623</v>
      </c>
      <c r="AL19" s="906">
        <f>IF(K19&lt;&gt;0,ROUND(K19 *J19/ (1+(L19/100)),0),0)</f>
        <v>0</v>
      </c>
      <c r="AM19" s="483" t="s">
        <v>290</v>
      </c>
      <c r="AN19" s="434" t="s">
        <v>291</v>
      </c>
      <c r="AO19" s="493">
        <f>PVTOT_TTC</f>
        <v>4496</v>
      </c>
      <c r="AP19" s="494">
        <f>PV_LOGT+(PV_LOGT*POURC_ACTUAL)</f>
        <v>4448</v>
      </c>
      <c r="AQ19" s="443">
        <f>AG23+(AG23*POURC_ACTUAL)</f>
        <v>0</v>
      </c>
      <c r="AR19" s="443">
        <f>PV_AUTR+(PV_AUTR*POURC_ACTUAL)</f>
        <v>48</v>
      </c>
      <c r="AS19" s="483"/>
      <c r="AT19" s="483"/>
      <c r="AU19" s="483" t="s">
        <v>277</v>
      </c>
      <c r="AV19" s="483" t="s">
        <v>277</v>
      </c>
      <c r="AW19" s="483"/>
      <c r="AX19" s="434">
        <f t="shared" si="9"/>
        <v>0</v>
      </c>
      <c r="AY19" s="434">
        <f t="shared" si="10"/>
        <v>0</v>
      </c>
      <c r="AZ19" s="436"/>
    </row>
    <row r="20" spans="1:52" ht="14.1" customHeight="1" thickBot="1">
      <c r="B20" s="533" t="s">
        <v>592</v>
      </c>
      <c r="C20" s="534">
        <v>67.95</v>
      </c>
      <c r="D20" s="920">
        <v>6</v>
      </c>
      <c r="E20" s="535">
        <v>206</v>
      </c>
      <c r="F20" s="898">
        <v>20</v>
      </c>
      <c r="G20" s="557"/>
      <c r="H20" s="564"/>
      <c r="I20" s="569"/>
      <c r="J20" s="569"/>
      <c r="K20" s="569"/>
      <c r="L20" s="569"/>
      <c r="M20" s="569"/>
      <c r="N20" s="436"/>
      <c r="O20" s="565" t="s">
        <v>233</v>
      </c>
      <c r="P20" s="508"/>
      <c r="Q20" s="566">
        <f>SHON_GLOB</f>
        <v>1560</v>
      </c>
      <c r="R20" s="567">
        <f>SHON_LOGT</f>
        <v>1560</v>
      </c>
      <c r="S20" s="542"/>
      <c r="T20" s="543" t="str">
        <f t="shared" si="1"/>
        <v>M3</v>
      </c>
      <c r="U20" s="544">
        <f t="shared" si="2"/>
        <v>67.95</v>
      </c>
      <c r="V20" s="545">
        <f t="shared" si="3"/>
        <v>6</v>
      </c>
      <c r="W20" s="546">
        <f t="shared" si="4"/>
        <v>407.70000000000005</v>
      </c>
      <c r="X20" s="546">
        <f t="shared" si="5"/>
        <v>206</v>
      </c>
      <c r="Y20" s="914">
        <f t="shared" si="11"/>
        <v>20</v>
      </c>
      <c r="Z20" s="546">
        <f t="shared" si="6"/>
        <v>1236</v>
      </c>
      <c r="AA20" s="547">
        <f t="shared" si="7"/>
        <v>3031.6409124356142</v>
      </c>
      <c r="AB20" s="546"/>
      <c r="AC20" s="568" t="s">
        <v>292</v>
      </c>
      <c r="AD20" s="509"/>
      <c r="AE20" s="546">
        <f>J17</f>
        <v>0</v>
      </c>
      <c r="AF20" s="546">
        <f>K17*1000</f>
        <v>0</v>
      </c>
      <c r="AG20" s="547">
        <f>J17*K17</f>
        <v>0</v>
      </c>
      <c r="AK20" s="907">
        <f t="shared" si="8"/>
        <v>1030</v>
      </c>
      <c r="AL20" s="907">
        <v>0</v>
      </c>
      <c r="AM20" s="483" t="s">
        <v>293</v>
      </c>
      <c r="AN20" s="434" t="s">
        <v>294</v>
      </c>
      <c r="AO20" s="493">
        <f>CONSHT</f>
        <v>1855</v>
      </c>
      <c r="AP20" s="494">
        <f>CONLHT</f>
        <v>1833</v>
      </c>
      <c r="AQ20" s="443">
        <f>CONGHT</f>
        <v>0</v>
      </c>
      <c r="AR20" s="443">
        <f>CONDHT</f>
        <v>0</v>
      </c>
      <c r="AS20" s="483"/>
      <c r="AT20" s="483"/>
      <c r="AU20" s="483" t="s">
        <v>277</v>
      </c>
      <c r="AV20" s="483" t="s">
        <v>277</v>
      </c>
      <c r="AW20" s="483"/>
      <c r="AX20" s="434">
        <f t="shared" si="9"/>
        <v>0</v>
      </c>
      <c r="AY20" s="434">
        <f t="shared" si="10"/>
        <v>0</v>
      </c>
      <c r="AZ20" s="436"/>
    </row>
    <row r="21" spans="1:52" ht="14.1" customHeight="1" thickBot="1">
      <c r="B21" s="533" t="s">
        <v>593</v>
      </c>
      <c r="C21" s="534">
        <v>78.25</v>
      </c>
      <c r="D21" s="920">
        <v>4</v>
      </c>
      <c r="E21" s="535">
        <v>239</v>
      </c>
      <c r="F21" s="898">
        <v>20</v>
      </c>
      <c r="G21" s="557"/>
      <c r="H21" s="564"/>
      <c r="I21" s="1248" t="s">
        <v>556</v>
      </c>
      <c r="J21" s="1248"/>
      <c r="K21" s="1248"/>
      <c r="L21" s="1248"/>
      <c r="M21" s="1249"/>
      <c r="N21" s="519"/>
      <c r="O21" s="565" t="s">
        <v>295</v>
      </c>
      <c r="P21" s="508"/>
      <c r="Q21" s="566">
        <f>SURF_TERR</f>
        <v>4778</v>
      </c>
      <c r="R21" s="567"/>
      <c r="S21" s="542"/>
      <c r="T21" s="543" t="str">
        <f t="shared" si="1"/>
        <v>M4</v>
      </c>
      <c r="U21" s="544">
        <f t="shared" si="2"/>
        <v>78.25</v>
      </c>
      <c r="V21" s="545">
        <f t="shared" si="3"/>
        <v>4</v>
      </c>
      <c r="W21" s="546">
        <f t="shared" si="4"/>
        <v>313</v>
      </c>
      <c r="X21" s="546">
        <f t="shared" si="5"/>
        <v>239</v>
      </c>
      <c r="Y21" s="914">
        <f t="shared" si="11"/>
        <v>20</v>
      </c>
      <c r="Z21" s="546">
        <f t="shared" si="6"/>
        <v>956</v>
      </c>
      <c r="AA21" s="547">
        <f t="shared" si="7"/>
        <v>3054.3130990415339</v>
      </c>
      <c r="AB21" s="546"/>
      <c r="AC21" s="528" t="s">
        <v>207</v>
      </c>
      <c r="AD21" s="570"/>
      <c r="AE21" s="571">
        <f>SUM(AE19:AE20)</f>
        <v>0</v>
      </c>
      <c r="AF21" s="571">
        <f>IF(AE21&lt;&gt;0,PV_PARK/AE21*1000,0)</f>
        <v>0</v>
      </c>
      <c r="AG21" s="572">
        <f>SUM(AG19:AG20)</f>
        <v>0</v>
      </c>
      <c r="AK21" s="907">
        <f t="shared" si="8"/>
        <v>797</v>
      </c>
      <c r="AL21" s="907">
        <v>0</v>
      </c>
      <c r="AM21" s="483" t="s">
        <v>296</v>
      </c>
      <c r="AN21" s="434" t="s">
        <v>297</v>
      </c>
      <c r="AO21" s="493">
        <f>VRDHT+CONSHT</f>
        <v>2370</v>
      </c>
      <c r="AP21" s="494">
        <f>AK59+AK65</f>
        <v>2370</v>
      </c>
      <c r="AQ21" s="494">
        <f>AL59+AL65</f>
        <v>0</v>
      </c>
      <c r="AR21" s="494">
        <f>AM59+AM65</f>
        <v>0</v>
      </c>
      <c r="AS21" s="483"/>
      <c r="AT21" s="483"/>
      <c r="AU21" s="483" t="s">
        <v>277</v>
      </c>
      <c r="AV21" s="483" t="s">
        <v>277</v>
      </c>
      <c r="AW21" s="483"/>
      <c r="AX21" s="434">
        <f t="shared" si="9"/>
        <v>0</v>
      </c>
      <c r="AY21" s="434">
        <f t="shared" si="10"/>
        <v>0</v>
      </c>
      <c r="AZ21" s="436"/>
    </row>
    <row r="22" spans="1:52" ht="12" customHeight="1">
      <c r="B22" s="533" t="s">
        <v>593</v>
      </c>
      <c r="C22" s="534">
        <v>82</v>
      </c>
      <c r="D22" s="920">
        <v>4</v>
      </c>
      <c r="E22" s="535">
        <v>244</v>
      </c>
      <c r="F22" s="898">
        <v>20</v>
      </c>
      <c r="G22" s="557"/>
      <c r="H22" s="564"/>
      <c r="I22" s="932" t="s">
        <v>298</v>
      </c>
      <c r="J22" s="515" t="s">
        <v>299</v>
      </c>
      <c r="K22" s="516" t="s">
        <v>300</v>
      </c>
      <c r="L22" s="899" t="s">
        <v>492</v>
      </c>
      <c r="M22" s="518" t="s">
        <v>509</v>
      </c>
      <c r="N22" s="573"/>
      <c r="O22" s="565" t="s">
        <v>301</v>
      </c>
      <c r="P22" s="508"/>
      <c r="Q22" s="566">
        <f>SURF_HABIT</f>
        <v>1475.26</v>
      </c>
      <c r="R22" s="567">
        <f>SURF_HABIT</f>
        <v>1475.26</v>
      </c>
      <c r="S22" s="542"/>
      <c r="T22" s="543" t="str">
        <f t="shared" si="1"/>
        <v>M4</v>
      </c>
      <c r="U22" s="544">
        <f t="shared" si="2"/>
        <v>82</v>
      </c>
      <c r="V22" s="545">
        <f t="shared" si="3"/>
        <v>4</v>
      </c>
      <c r="W22" s="546">
        <f t="shared" si="4"/>
        <v>328</v>
      </c>
      <c r="X22" s="546">
        <f t="shared" si="5"/>
        <v>244</v>
      </c>
      <c r="Y22" s="914">
        <f t="shared" si="11"/>
        <v>20</v>
      </c>
      <c r="Z22" s="546">
        <f t="shared" si="6"/>
        <v>976</v>
      </c>
      <c r="AA22" s="547">
        <f t="shared" si="7"/>
        <v>2975.6097560975609</v>
      </c>
      <c r="AB22" s="546"/>
      <c r="AC22" s="574" t="s">
        <v>302</v>
      </c>
      <c r="AD22" s="548"/>
      <c r="AE22" s="575">
        <f>J19</f>
        <v>0</v>
      </c>
      <c r="AF22" s="575">
        <f>K19*1000</f>
        <v>0</v>
      </c>
      <c r="AG22" s="547">
        <f>J19*K19</f>
        <v>0</v>
      </c>
      <c r="AK22" s="907">
        <f t="shared" si="8"/>
        <v>813</v>
      </c>
      <c r="AL22" s="907">
        <v>0</v>
      </c>
      <c r="AM22" s="483" t="s">
        <v>303</v>
      </c>
      <c r="AN22" s="434" t="s">
        <v>304</v>
      </c>
      <c r="AO22" s="493">
        <f>1.75*Q20</f>
        <v>2730</v>
      </c>
      <c r="AP22" s="494">
        <f>1.75*R20</f>
        <v>2730</v>
      </c>
      <c r="AQ22" s="434">
        <v>0</v>
      </c>
      <c r="AR22" s="434">
        <f>1.75*(Q20-R20)</f>
        <v>0</v>
      </c>
      <c r="AS22" s="483"/>
      <c r="AT22" s="483"/>
      <c r="AU22" s="483" t="s">
        <v>277</v>
      </c>
      <c r="AV22" s="483" t="s">
        <v>277</v>
      </c>
      <c r="AW22" s="483"/>
      <c r="AX22" s="434">
        <f t="shared" si="9"/>
        <v>0</v>
      </c>
      <c r="AY22" s="434">
        <f t="shared" si="10"/>
        <v>0</v>
      </c>
      <c r="AZ22" s="436"/>
    </row>
    <row r="23" spans="1:52" ht="14.1" customHeight="1" thickBot="1">
      <c r="B23" s="533"/>
      <c r="C23" s="534"/>
      <c r="D23" s="920"/>
      <c r="E23" s="535"/>
      <c r="F23" s="898"/>
      <c r="G23" s="536">
        <v>0</v>
      </c>
      <c r="H23" s="537"/>
      <c r="I23" s="893" t="s">
        <v>594</v>
      </c>
      <c r="J23" s="920">
        <v>12</v>
      </c>
      <c r="K23" s="535">
        <v>4</v>
      </c>
      <c r="L23" s="898">
        <v>20</v>
      </c>
      <c r="M23" s="576">
        <v>0</v>
      </c>
      <c r="N23" s="519"/>
      <c r="O23" s="565" t="s">
        <v>305</v>
      </c>
      <c r="P23" s="508"/>
      <c r="Q23" s="566">
        <f>SURF_UTIL</f>
        <v>12</v>
      </c>
      <c r="R23" s="567"/>
      <c r="S23" s="542"/>
      <c r="T23" s="543">
        <f t="shared" si="1"/>
        <v>0</v>
      </c>
      <c r="U23" s="544">
        <f t="shared" si="2"/>
        <v>0</v>
      </c>
      <c r="V23" s="545">
        <f t="shared" si="3"/>
        <v>0</v>
      </c>
      <c r="W23" s="546">
        <f t="shared" si="4"/>
        <v>0</v>
      </c>
      <c r="X23" s="546">
        <f t="shared" si="5"/>
        <v>0</v>
      </c>
      <c r="Y23" s="914">
        <f t="shared" si="11"/>
        <v>0</v>
      </c>
      <c r="Z23" s="546">
        <f t="shared" si="6"/>
        <v>0</v>
      </c>
      <c r="AA23" s="547">
        <f t="shared" si="7"/>
        <v>0</v>
      </c>
      <c r="AB23" s="546"/>
      <c r="AC23" s="528" t="s">
        <v>207</v>
      </c>
      <c r="AD23" s="570"/>
      <c r="AE23" s="571">
        <f>SUM(AE21:AE22)</f>
        <v>0</v>
      </c>
      <c r="AF23" s="571">
        <f>IF(AE23&lt;&gt;0,AG23/AE23*1000,0)</f>
        <v>0</v>
      </c>
      <c r="AG23" s="572">
        <f>SUM(AG21:AG22)</f>
        <v>0</v>
      </c>
      <c r="AK23" s="907">
        <f t="shared" si="8"/>
        <v>0</v>
      </c>
      <c r="AL23" s="906">
        <f>IF(K23&lt;&gt;0,ROUND(K23 *J23/ (1+(L23/100)),0),0)</f>
        <v>40</v>
      </c>
      <c r="AM23" s="483" t="s">
        <v>196</v>
      </c>
      <c r="AN23" s="434" t="s">
        <v>306</v>
      </c>
      <c r="AO23" s="493">
        <f>AJ92</f>
        <v>4032</v>
      </c>
      <c r="AP23" s="494">
        <f>AN93</f>
        <v>4028</v>
      </c>
      <c r="AQ23" s="494">
        <f>AO93</f>
        <v>0</v>
      </c>
      <c r="AR23" s="494">
        <f>AP93</f>
        <v>2.4</v>
      </c>
      <c r="AS23" s="483"/>
      <c r="AT23" s="483"/>
      <c r="AU23" s="434" t="s">
        <v>277</v>
      </c>
      <c r="AV23" s="434" t="s">
        <v>277</v>
      </c>
      <c r="AW23" s="483"/>
      <c r="AX23" s="434">
        <f t="shared" si="9"/>
        <v>0</v>
      </c>
      <c r="AY23" s="434">
        <f t="shared" si="10"/>
        <v>0</v>
      </c>
      <c r="AZ23" s="436"/>
    </row>
    <row r="24" spans="1:52" ht="15" customHeight="1" thickBot="1">
      <c r="B24" s="533"/>
      <c r="C24" s="534"/>
      <c r="D24" s="920"/>
      <c r="E24" s="535"/>
      <c r="F24" s="898"/>
      <c r="G24" s="536">
        <v>0</v>
      </c>
      <c r="H24" s="537"/>
      <c r="I24" s="1180"/>
      <c r="J24" s="920"/>
      <c r="K24" s="535"/>
      <c r="L24" s="898"/>
      <c r="M24" s="576">
        <v>0</v>
      </c>
      <c r="N24" s="519"/>
      <c r="O24" s="565" t="s">
        <v>307</v>
      </c>
      <c r="P24" s="508"/>
      <c r="Q24" s="577">
        <f>IF(Q21&lt;&gt;0,Q20/Q21,0)</f>
        <v>0.32649644202595229</v>
      </c>
      <c r="R24" s="578"/>
      <c r="S24" s="542"/>
      <c r="T24" s="543">
        <f t="shared" si="1"/>
        <v>0</v>
      </c>
      <c r="U24" s="544">
        <f t="shared" si="2"/>
        <v>0</v>
      </c>
      <c r="V24" s="545">
        <f t="shared" si="3"/>
        <v>0</v>
      </c>
      <c r="W24" s="546">
        <f t="shared" si="4"/>
        <v>0</v>
      </c>
      <c r="X24" s="546">
        <f t="shared" si="5"/>
        <v>0</v>
      </c>
      <c r="Y24" s="914">
        <f t="shared" si="11"/>
        <v>0</v>
      </c>
      <c r="Z24" s="546">
        <f t="shared" si="6"/>
        <v>0</v>
      </c>
      <c r="AA24" s="547">
        <f t="shared" si="7"/>
        <v>0</v>
      </c>
      <c r="AB24" s="546"/>
      <c r="AC24" s="508" t="s">
        <v>556</v>
      </c>
      <c r="AD24" s="509"/>
      <c r="AE24" s="509"/>
      <c r="AF24" s="509"/>
      <c r="AG24" s="509"/>
      <c r="AK24" s="907">
        <f t="shared" si="8"/>
        <v>0</v>
      </c>
      <c r="AL24" s="906">
        <f>IF(K24&lt;&gt;0,ROUND(K24 *J24/ (1+(L24/100)),0),0)</f>
        <v>0</v>
      </c>
      <c r="AM24" s="434" t="s">
        <v>308</v>
      </c>
      <c r="AN24" s="434" t="s">
        <v>309</v>
      </c>
      <c r="AO24" s="493">
        <f>PV_TOT_HT</f>
        <v>3746</v>
      </c>
      <c r="AP24" s="494">
        <f>(PV_LOGT_HT+(PV_LOGT_HT*POURC_ACTUAL))</f>
        <v>3706</v>
      </c>
      <c r="AQ24" s="443">
        <f>PV_GARAGE_HT+(PV_GARAGE_HT*POURC_ACTUAL)</f>
        <v>0</v>
      </c>
      <c r="AR24" s="443">
        <f>PV_AUTR_HT+(PV_AUTR_HT*POURC_ACTUAL)</f>
        <v>40</v>
      </c>
      <c r="AS24" s="483"/>
      <c r="AT24" s="483"/>
      <c r="AU24" s="434" t="s">
        <v>277</v>
      </c>
      <c r="AV24" s="434" t="s">
        <v>277</v>
      </c>
      <c r="AW24" s="483"/>
      <c r="AX24" s="434">
        <f t="shared" si="9"/>
        <v>0</v>
      </c>
      <c r="AY24" s="434">
        <f t="shared" si="10"/>
        <v>0</v>
      </c>
      <c r="AZ24" s="436"/>
    </row>
    <row r="25" spans="1:52" ht="15" customHeight="1" thickBot="1">
      <c r="B25" s="533"/>
      <c r="C25" s="534"/>
      <c r="D25" s="920"/>
      <c r="E25" s="535"/>
      <c r="F25" s="898"/>
      <c r="G25" s="536">
        <v>0</v>
      </c>
      <c r="H25" s="537"/>
      <c r="I25" s="1175"/>
      <c r="J25" s="1176"/>
      <c r="K25" s="1177"/>
      <c r="L25" s="1178"/>
      <c r="M25" s="1179">
        <v>0</v>
      </c>
      <c r="N25" s="519"/>
      <c r="O25" s="579" t="s">
        <v>310</v>
      </c>
      <c r="P25" s="580"/>
      <c r="Q25" s="581">
        <f>IF(Q20&lt;&gt;0,(Q22+Q23)/Q20,0)</f>
        <v>0.95337179487179491</v>
      </c>
      <c r="R25" s="582">
        <f>IF(R20&lt;&gt;0,R22/R20,0)</f>
        <v>0.94567948717948713</v>
      </c>
      <c r="S25" s="542"/>
      <c r="T25" s="543">
        <f t="shared" si="1"/>
        <v>0</v>
      </c>
      <c r="U25" s="544">
        <f t="shared" si="2"/>
        <v>0</v>
      </c>
      <c r="V25" s="545">
        <f t="shared" si="3"/>
        <v>0</v>
      </c>
      <c r="W25" s="546">
        <f t="shared" si="4"/>
        <v>0</v>
      </c>
      <c r="X25" s="546">
        <f t="shared" si="5"/>
        <v>0</v>
      </c>
      <c r="Y25" s="914">
        <f t="shared" si="11"/>
        <v>0</v>
      </c>
      <c r="Z25" s="546">
        <f t="shared" si="6"/>
        <v>0</v>
      </c>
      <c r="AA25" s="547">
        <f t="shared" si="7"/>
        <v>0</v>
      </c>
      <c r="AB25" s="546"/>
      <c r="AC25" s="560"/>
      <c r="AD25" s="561"/>
      <c r="AE25" s="526" t="s">
        <v>299</v>
      </c>
      <c r="AF25" s="526" t="s">
        <v>300</v>
      </c>
      <c r="AG25" s="527" t="s">
        <v>207</v>
      </c>
      <c r="AK25" s="907">
        <f t="shared" si="8"/>
        <v>0</v>
      </c>
      <c r="AL25" s="906">
        <f>IF(K25&lt;&gt;0,ROUND(K25 *J25/ (1+(L25/100)),0),0)</f>
        <v>0</v>
      </c>
      <c r="AM25" s="434" t="s">
        <v>113</v>
      </c>
      <c r="AN25" s="436" t="s">
        <v>311</v>
      </c>
      <c r="AO25" s="493">
        <f>SURF_HABIT</f>
        <v>1475.26</v>
      </c>
      <c r="AP25" s="494">
        <f>AO25*COEF_SHON_LGT</f>
        <v>1475.26</v>
      </c>
      <c r="AQ25" s="494">
        <f>0</f>
        <v>0</v>
      </c>
      <c r="AR25" s="434">
        <f>AO25*COEF_SHON_AUT</f>
        <v>0</v>
      </c>
      <c r="AS25" s="483"/>
      <c r="AT25" s="483"/>
      <c r="AU25" s="434" t="s">
        <v>277</v>
      </c>
      <c r="AV25" s="434" t="s">
        <v>277</v>
      </c>
      <c r="AW25" s="483"/>
      <c r="AX25" s="434">
        <f t="shared" si="9"/>
        <v>0</v>
      </c>
      <c r="AY25" s="434">
        <f t="shared" si="10"/>
        <v>0</v>
      </c>
      <c r="AZ25" s="436"/>
    </row>
    <row r="26" spans="1:52" ht="15" customHeight="1" thickBot="1">
      <c r="B26" s="583"/>
      <c r="C26" s="584"/>
      <c r="D26" s="921"/>
      <c r="E26" s="585"/>
      <c r="F26" s="900"/>
      <c r="G26" s="586">
        <v>0</v>
      </c>
      <c r="H26" s="587"/>
      <c r="I26" s="923"/>
      <c r="J26" s="921"/>
      <c r="K26" s="585"/>
      <c r="L26" s="900"/>
      <c r="M26" s="588">
        <v>0</v>
      </c>
      <c r="N26" s="519"/>
      <c r="O26" s="548"/>
      <c r="P26" s="548"/>
      <c r="Q26" s="548"/>
      <c r="R26" s="548"/>
      <c r="S26" s="542"/>
      <c r="T26" s="543">
        <f t="shared" si="1"/>
        <v>0</v>
      </c>
      <c r="U26" s="544">
        <f t="shared" si="2"/>
        <v>0</v>
      </c>
      <c r="V26" s="545">
        <f t="shared" si="3"/>
        <v>0</v>
      </c>
      <c r="W26" s="546">
        <f t="shared" si="4"/>
        <v>0</v>
      </c>
      <c r="X26" s="546">
        <f t="shared" si="5"/>
        <v>0</v>
      </c>
      <c r="Y26" s="914">
        <f t="shared" si="11"/>
        <v>0</v>
      </c>
      <c r="Z26" s="546">
        <f t="shared" si="6"/>
        <v>0</v>
      </c>
      <c r="AA26" s="547">
        <f t="shared" si="7"/>
        <v>0</v>
      </c>
      <c r="AB26" s="546"/>
      <c r="AC26" s="543" t="str">
        <f>I23</f>
        <v>Celliers</v>
      </c>
      <c r="AD26" s="509"/>
      <c r="AE26" s="546">
        <f>J23</f>
        <v>12</v>
      </c>
      <c r="AF26" s="546">
        <f>K23*1000</f>
        <v>4000</v>
      </c>
      <c r="AG26" s="547">
        <f>J23*K23</f>
        <v>48</v>
      </c>
      <c r="AK26" s="907">
        <f t="shared" si="8"/>
        <v>0</v>
      </c>
      <c r="AL26" s="906">
        <f>IF(K26&lt;&gt;0,ROUND(K26 *J26/ (1+(L26/100)),0),0)</f>
        <v>0</v>
      </c>
      <c r="AM26" s="436" t="s">
        <v>118</v>
      </c>
      <c r="AN26" s="436" t="s">
        <v>312</v>
      </c>
      <c r="AO26" s="494">
        <f>AJ59</f>
        <v>1241</v>
      </c>
      <c r="AP26" s="494">
        <f>AN59+AN55</f>
        <v>1240.8</v>
      </c>
      <c r="AQ26" s="434">
        <v>0</v>
      </c>
      <c r="AR26" s="494">
        <f>AP59+AP55</f>
        <v>0</v>
      </c>
      <c r="AS26" s="483"/>
      <c r="AT26" s="483"/>
      <c r="AU26" s="434" t="s">
        <v>277</v>
      </c>
      <c r="AV26" s="434" t="s">
        <v>277</v>
      </c>
      <c r="AW26" s="483"/>
      <c r="AX26" s="434">
        <f t="shared" si="9"/>
        <v>0</v>
      </c>
      <c r="AY26" s="434">
        <f t="shared" si="10"/>
        <v>0</v>
      </c>
      <c r="AZ26" s="436"/>
    </row>
    <row r="27" spans="1:52" ht="15" customHeight="1" thickBot="1">
      <c r="B27" s="593" t="s">
        <v>238</v>
      </c>
      <c r="C27" s="436"/>
      <c r="D27" s="436"/>
      <c r="E27" s="436"/>
      <c r="F27" s="436"/>
      <c r="G27" s="436"/>
      <c r="H27" s="436"/>
      <c r="I27" s="436"/>
      <c r="J27" s="436"/>
      <c r="K27" s="436"/>
      <c r="L27" s="436"/>
      <c r="M27" s="436"/>
      <c r="N27" s="436"/>
      <c r="O27" s="594" t="s">
        <v>236</v>
      </c>
      <c r="P27" s="595"/>
      <c r="Q27" s="596"/>
      <c r="R27" s="597">
        <f>I11/100</f>
        <v>0.08</v>
      </c>
      <c r="S27" s="542"/>
      <c r="T27" s="528" t="s">
        <v>60</v>
      </c>
      <c r="U27" s="598">
        <f>IF(NB_LOGT&lt;&gt;0,SURF_HABIT/NB_LOGT,0)</f>
        <v>67.057272727272732</v>
      </c>
      <c r="V27" s="599">
        <f>SUM(V16:V26)</f>
        <v>22</v>
      </c>
      <c r="W27" s="599">
        <f>SUM(W16:W26)</f>
        <v>1475.26</v>
      </c>
      <c r="X27" s="599">
        <f>IF(NB_LOGT&lt;&gt;0,PV_LOGT/NB_LOGT,0)</f>
        <v>202.18181818181819</v>
      </c>
      <c r="Y27" s="599"/>
      <c r="Z27" s="599">
        <f>SUM(Z16:Z26)</f>
        <v>4448</v>
      </c>
      <c r="AA27" s="572">
        <f>IF(SURF_HABIT&lt;&gt;0,PV_LOGT/SURF_HABIT*1000,0)</f>
        <v>3015.0617518267968</v>
      </c>
      <c r="AB27" s="600"/>
      <c r="AC27" s="543">
        <f>I24</f>
        <v>0</v>
      </c>
      <c r="AD27" s="1170"/>
      <c r="AE27" s="546">
        <f>J24</f>
        <v>0</v>
      </c>
      <c r="AF27" s="546">
        <f>K24*1000</f>
        <v>0</v>
      </c>
      <c r="AG27" s="547">
        <f>J24*K24</f>
        <v>0</v>
      </c>
      <c r="AK27" s="908">
        <f>SUM(AK16:AK26)</f>
        <v>3706</v>
      </c>
      <c r="AL27" s="908">
        <f>SUM(AL16:AL26)</f>
        <v>40</v>
      </c>
      <c r="AM27" s="436" t="s">
        <v>197</v>
      </c>
      <c r="AN27" s="436" t="s">
        <v>313</v>
      </c>
      <c r="AO27" s="434">
        <f>NB_LOGT</f>
        <v>22</v>
      </c>
      <c r="AP27" s="494">
        <f>AO27</f>
        <v>22</v>
      </c>
      <c r="AQ27" s="434">
        <v>0</v>
      </c>
      <c r="AR27" s="434">
        <v>0</v>
      </c>
      <c r="AS27" s="483"/>
      <c r="AT27" s="483"/>
      <c r="AU27" s="434" t="s">
        <v>277</v>
      </c>
      <c r="AV27" s="434" t="s">
        <v>277</v>
      </c>
      <c r="AW27" s="483"/>
      <c r="AX27" s="434">
        <f>SUM(AX16:AX26)</f>
        <v>0</v>
      </c>
      <c r="AY27" s="434">
        <f>SUM(AY16:AY26)</f>
        <v>0</v>
      </c>
      <c r="AZ27" s="436"/>
    </row>
    <row r="28" spans="1:52" ht="14.1" customHeight="1" thickBot="1">
      <c r="B28" s="601" t="s">
        <v>314</v>
      </c>
      <c r="C28" s="602"/>
      <c r="D28" s="601" t="s">
        <v>315</v>
      </c>
      <c r="E28" s="605"/>
      <c r="F28" s="602"/>
      <c r="G28" s="601" t="s">
        <v>316</v>
      </c>
      <c r="H28" s="603"/>
      <c r="I28" s="603"/>
      <c r="J28" s="604" t="s">
        <v>511</v>
      </c>
      <c r="K28" s="605"/>
      <c r="L28" s="605"/>
      <c r="M28" s="602"/>
      <c r="N28" s="436"/>
      <c r="O28" s="606" t="s">
        <v>317</v>
      </c>
      <c r="P28" s="590"/>
      <c r="Q28" s="607"/>
      <c r="R28" s="592">
        <f>PR_REV.TOT_HT*R27</f>
        <v>287.60000000000002</v>
      </c>
      <c r="S28" s="542"/>
      <c r="T28" s="509" t="s">
        <v>169</v>
      </c>
      <c r="U28" s="608" t="s">
        <v>169</v>
      </c>
      <c r="V28" s="1246" t="str">
        <f>IF(Monnaie = "Francs","Montants en KF","Montants en KEuros")</f>
        <v>Montants en KEuros</v>
      </c>
      <c r="W28" s="1246"/>
      <c r="X28" s="1246"/>
      <c r="Y28" s="1246"/>
      <c r="Z28" s="1246"/>
      <c r="AA28" s="509"/>
      <c r="AB28" s="509"/>
      <c r="AC28" s="543">
        <f>I25</f>
        <v>0</v>
      </c>
      <c r="AD28" s="1170"/>
      <c r="AE28" s="546">
        <f>J25</f>
        <v>0</v>
      </c>
      <c r="AF28" s="546">
        <f>K25*1000</f>
        <v>0</v>
      </c>
      <c r="AG28" s="547">
        <f>J25*K25</f>
        <v>0</v>
      </c>
      <c r="AK28" s="909" t="s">
        <v>497</v>
      </c>
      <c r="AL28" s="910">
        <f>AL23+AL25+AL26</f>
        <v>40</v>
      </c>
      <c r="AM28" s="436" t="s">
        <v>318</v>
      </c>
      <c r="AN28" s="609" t="s">
        <v>319</v>
      </c>
      <c r="AO28" s="484">
        <f>NBR_GARA</f>
        <v>0</v>
      </c>
      <c r="AP28" s="484">
        <v>0</v>
      </c>
      <c r="AQ28" s="609">
        <f>NBR_GARA</f>
        <v>0</v>
      </c>
      <c r="AR28" s="436">
        <v>0</v>
      </c>
      <c r="AS28" s="483"/>
      <c r="AT28" s="483"/>
      <c r="AU28" s="483" t="s">
        <v>277</v>
      </c>
      <c r="AV28" s="483" t="s">
        <v>277</v>
      </c>
      <c r="AW28" s="483"/>
      <c r="AZ28" s="436"/>
    </row>
    <row r="29" spans="1:52" ht="15.75" customHeight="1" thickBot="1">
      <c r="B29" s="610" t="s">
        <v>320</v>
      </c>
      <c r="C29" s="611"/>
      <c r="D29" s="610" t="s">
        <v>321</v>
      </c>
      <c r="E29" s="436"/>
      <c r="F29" s="611"/>
      <c r="G29" s="610" t="s">
        <v>517</v>
      </c>
      <c r="J29" s="612" t="s">
        <v>512</v>
      </c>
      <c r="K29" s="436"/>
      <c r="L29" s="436"/>
      <c r="M29" s="611"/>
      <c r="N29" s="519"/>
      <c r="O29" s="594" t="s">
        <v>235</v>
      </c>
      <c r="P29" s="595"/>
      <c r="Q29" s="596"/>
      <c r="R29" s="613">
        <f>D11</f>
        <v>0</v>
      </c>
      <c r="S29" s="542"/>
      <c r="T29" s="614" t="s">
        <v>322</v>
      </c>
      <c r="U29" s="615"/>
      <c r="V29" s="616"/>
      <c r="W29" s="616"/>
      <c r="X29" s="616"/>
      <c r="Y29" s="913"/>
      <c r="Z29" s="1213">
        <f>PV_LOGT+AG23+PV_AUTR+ACTUALISATION</f>
        <v>4496</v>
      </c>
      <c r="AA29" s="617"/>
      <c r="AB29" s="618"/>
      <c r="AC29" s="589">
        <f>I26</f>
        <v>0</v>
      </c>
      <c r="AD29" s="590"/>
      <c r="AE29" s="591">
        <f>J26</f>
        <v>0</v>
      </c>
      <c r="AF29" s="591">
        <f>K26*1000</f>
        <v>0</v>
      </c>
      <c r="AG29" s="592">
        <f>J26*K26</f>
        <v>0</v>
      </c>
      <c r="AK29" s="909" t="s">
        <v>498</v>
      </c>
      <c r="AL29" s="909">
        <f>(PV_LOGT_HT+PV_ANN_HT)*AE31</f>
        <v>0</v>
      </c>
      <c r="AM29" s="436" t="s">
        <v>323</v>
      </c>
      <c r="AN29" s="434" t="s">
        <v>324</v>
      </c>
      <c r="AO29" s="619">
        <f>P441HT</f>
        <v>0</v>
      </c>
      <c r="AP29" s="619">
        <f>AK85</f>
        <v>0</v>
      </c>
      <c r="AQ29" s="620">
        <f>AL85</f>
        <v>0</v>
      </c>
      <c r="AR29" s="443">
        <f>AM85</f>
        <v>0</v>
      </c>
      <c r="AS29" s="436"/>
      <c r="AT29" s="483"/>
      <c r="AU29" s="483" t="s">
        <v>277</v>
      </c>
      <c r="AV29" s="483" t="s">
        <v>277</v>
      </c>
      <c r="AW29" s="483"/>
      <c r="AZ29" s="436"/>
    </row>
    <row r="30" spans="1:52" ht="15.75" customHeight="1" thickBot="1">
      <c r="B30" s="610" t="s">
        <v>325</v>
      </c>
      <c r="C30" s="611"/>
      <c r="D30" s="610" t="s">
        <v>326</v>
      </c>
      <c r="E30" s="436"/>
      <c r="F30" s="611"/>
      <c r="G30" s="621" t="s">
        <v>516</v>
      </c>
      <c r="J30" s="612" t="s">
        <v>510</v>
      </c>
      <c r="K30" s="436"/>
      <c r="L30" s="436"/>
      <c r="M30" s="611"/>
      <c r="N30" s="519"/>
      <c r="O30" s="568" t="s">
        <v>244</v>
      </c>
      <c r="P30" s="509"/>
      <c r="Q30" s="622"/>
      <c r="R30" s="623">
        <f>D12</f>
        <v>0</v>
      </c>
      <c r="S30" s="542"/>
      <c r="T30" s="624" t="s">
        <v>327</v>
      </c>
      <c r="U30" s="625"/>
      <c r="V30" s="616"/>
      <c r="W30" s="616"/>
      <c r="X30" s="616"/>
      <c r="Y30" s="616"/>
      <c r="Z30" s="1213">
        <f>MARGTOT_HT</f>
        <v>151</v>
      </c>
      <c r="AA30" s="617"/>
      <c r="AB30" s="618"/>
      <c r="AC30" s="579" t="s">
        <v>328</v>
      </c>
      <c r="AD30" s="580"/>
      <c r="AE30" s="626">
        <f>AE26+AE27+AE28+AE29</f>
        <v>12</v>
      </c>
      <c r="AF30" s="626">
        <f>IF(SURF_UTIL&lt;&gt;0,PV_AUTR/SURF_UTIL*1000,0)</f>
        <v>4000</v>
      </c>
      <c r="AG30" s="627">
        <f>AG26+AG27+AG28+AG29</f>
        <v>48</v>
      </c>
      <c r="AH30" s="434" t="s">
        <v>586</v>
      </c>
      <c r="AJ30" s="444">
        <f>AG26+AG27+AG28+AG29</f>
        <v>48</v>
      </c>
      <c r="AK30" s="909" t="s">
        <v>499</v>
      </c>
      <c r="AL30" s="908">
        <f>PV_LOGT_HT+PV_ANN_HT+ACTUALISATION_HT</f>
        <v>3746</v>
      </c>
      <c r="AM30" t="s">
        <v>329</v>
      </c>
      <c r="AN30" s="436" t="s">
        <v>330</v>
      </c>
      <c r="AO30" s="493">
        <f>TOT1À5TTC-(0.08*TOT1À5HT)-(PVTOT_TTC-PV_TOT_HT-PR_TTC_HORS_GFA+PR_HT_HORS_GFA)</f>
        <v>3702.84</v>
      </c>
      <c r="AP30" s="494">
        <f>AO30*COEF_SHON_LGT</f>
        <v>3702.84</v>
      </c>
      <c r="AQ30" s="434">
        <f>AO93-0.08*AL93-PV_PARK*(1+POURC_ACTUAL)+PV_PARK*(1+POURC_ACTUAL)/TAUXTVA-AO109+AL109</f>
        <v>0</v>
      </c>
      <c r="AR30" s="434">
        <f>AO30*COEF_SHON_AUT</f>
        <v>0</v>
      </c>
      <c r="AS30" s="436"/>
      <c r="AT30" s="436"/>
      <c r="AU30" s="483" t="s">
        <v>277</v>
      </c>
      <c r="AV30" s="483" t="s">
        <v>277</v>
      </c>
      <c r="AW30" s="483"/>
      <c r="AZ30" s="436"/>
    </row>
    <row r="31" spans="1:52" ht="17.25" customHeight="1" thickBot="1">
      <c r="A31" s="628" t="s">
        <v>331</v>
      </c>
      <c r="B31" s="610" t="s">
        <v>332</v>
      </c>
      <c r="C31" s="611"/>
      <c r="D31" s="610" t="s">
        <v>333</v>
      </c>
      <c r="E31" s="436"/>
      <c r="F31" s="611"/>
      <c r="G31" s="610" t="s">
        <v>515</v>
      </c>
      <c r="J31" s="610" t="s">
        <v>520</v>
      </c>
      <c r="K31" s="436"/>
      <c r="L31" s="436"/>
      <c r="M31" s="611"/>
      <c r="N31" s="519"/>
      <c r="O31" s="606" t="s">
        <v>334</v>
      </c>
      <c r="P31" s="590"/>
      <c r="Q31" s="607"/>
      <c r="R31" s="630">
        <f>IF(R29&lt;&gt;0,R30+(NB_LOGT/R29*30),0)</f>
        <v>0</v>
      </c>
      <c r="S31" s="542"/>
      <c r="T31" s="624" t="s">
        <v>335</v>
      </c>
      <c r="U31" s="625"/>
      <c r="V31" s="616"/>
      <c r="W31" s="616"/>
      <c r="X31" s="616"/>
      <c r="Y31" s="616"/>
      <c r="Z31" s="1214">
        <f>POURMARG_HT</f>
        <v>4.0309663641217297E-2</v>
      </c>
      <c r="AA31" s="617"/>
      <c r="AB31" s="618"/>
      <c r="AC31" s="631" t="s">
        <v>336</v>
      </c>
      <c r="AD31" s="632"/>
      <c r="AE31" s="633">
        <f>I12/100</f>
        <v>0</v>
      </c>
      <c r="AF31" s="634"/>
      <c r="AG31" s="635">
        <f>(PV_LOGT+AG23+AG30)*AE31</f>
        <v>0</v>
      </c>
      <c r="AH31" s="436"/>
      <c r="AI31" s="436"/>
      <c r="AJ31" s="436"/>
      <c r="AK31" s="911" t="s">
        <v>500</v>
      </c>
      <c r="AL31" s="912">
        <f>AL16+AL17+AL19</f>
        <v>0</v>
      </c>
      <c r="AM31" s="434" t="s">
        <v>337</v>
      </c>
      <c r="AN31" s="434" t="s">
        <v>338</v>
      </c>
      <c r="AO31" s="443">
        <f>TOT1À5TTC-AI65</f>
        <v>1806</v>
      </c>
      <c r="AP31" s="434">
        <v>0</v>
      </c>
      <c r="AQ31" s="434">
        <v>0</v>
      </c>
      <c r="AR31" s="434">
        <v>0</v>
      </c>
      <c r="AS31" s="436"/>
      <c r="AT31" s="436"/>
      <c r="AU31" s="483" t="s">
        <v>277</v>
      </c>
      <c r="AV31" s="483" t="s">
        <v>277</v>
      </c>
      <c r="AW31" s="436"/>
      <c r="AZ31" s="436"/>
    </row>
    <row r="32" spans="1:52" ht="10.5" hidden="1" customHeight="1">
      <c r="A32" s="628"/>
      <c r="B32" s="610"/>
      <c r="C32" s="611"/>
      <c r="D32" s="610"/>
      <c r="E32" s="436"/>
      <c r="F32" s="611"/>
      <c r="G32" s="610"/>
      <c r="J32" s="629"/>
      <c r="K32" s="436"/>
      <c r="L32" s="436"/>
      <c r="M32" s="611"/>
      <c r="N32" s="519"/>
      <c r="O32" s="509"/>
      <c r="P32" s="509"/>
      <c r="Q32" s="542"/>
      <c r="R32" s="636"/>
      <c r="S32" s="542"/>
      <c r="T32" s="637"/>
      <c r="U32" s="637"/>
      <c r="V32" s="638"/>
      <c r="W32" s="638"/>
      <c r="X32" s="638"/>
      <c r="Y32" s="638"/>
      <c r="Z32" s="639"/>
      <c r="AA32" s="386"/>
      <c r="AB32" s="640"/>
      <c r="AC32" s="509"/>
      <c r="AD32" s="509"/>
      <c r="AE32" s="641"/>
      <c r="AF32" s="600"/>
      <c r="AG32" s="600"/>
      <c r="AH32" s="436"/>
      <c r="AI32" s="436"/>
      <c r="AJ32" s="436"/>
      <c r="AK32" s="436"/>
      <c r="AL32" s="436"/>
      <c r="AM32" s="434" t="s">
        <v>339</v>
      </c>
      <c r="AN32" s="434" t="s">
        <v>340</v>
      </c>
      <c r="AO32" s="493">
        <f>PVTOT_TTC-PV_AUTR_NONSOUMIS</f>
        <v>4448</v>
      </c>
      <c r="AP32" s="494">
        <f>PV_LOGT+(PV_LOGT*POURC_ACTUAL)</f>
        <v>4448</v>
      </c>
      <c r="AQ32" s="443">
        <v>0</v>
      </c>
      <c r="AR32" s="443">
        <v>0</v>
      </c>
      <c r="AS32" s="436"/>
      <c r="AT32" s="436"/>
      <c r="AU32" s="483" t="s">
        <v>277</v>
      </c>
      <c r="AV32" s="483" t="s">
        <v>277</v>
      </c>
      <c r="AW32" s="436"/>
      <c r="AX32" s="434">
        <f>IF(AND(G32&lt;&gt;0,OR(H32&gt;2,H32&lt;1)),1,0)</f>
        <v>0</v>
      </c>
      <c r="AY32" s="434">
        <f>IF(G32&lt;&gt;0,IF(H32=1,G32*D32,G32*C32*D32/1000),0)</f>
        <v>0</v>
      </c>
      <c r="AZ32" s="436"/>
    </row>
    <row r="33" spans="1:53" ht="13.5" hidden="1" customHeight="1">
      <c r="A33" s="628"/>
      <c r="B33" s="610"/>
      <c r="C33" s="611"/>
      <c r="D33" s="610"/>
      <c r="E33" s="436"/>
      <c r="F33" s="611"/>
      <c r="G33" s="610"/>
      <c r="J33" s="629"/>
      <c r="K33" s="436"/>
      <c r="L33" s="436"/>
      <c r="M33" s="611"/>
      <c r="N33" s="519"/>
      <c r="O33" s="509"/>
      <c r="P33" s="509"/>
      <c r="Q33" s="542"/>
      <c r="R33" s="636"/>
      <c r="S33" s="542"/>
      <c r="T33" s="637"/>
      <c r="U33" s="637"/>
      <c r="V33" s="638"/>
      <c r="W33" s="638"/>
      <c r="X33" s="638"/>
      <c r="Y33" s="638"/>
      <c r="Z33" s="639"/>
      <c r="AA33" s="386"/>
      <c r="AB33" s="640"/>
      <c r="AC33" s="509"/>
      <c r="AD33" s="509"/>
      <c r="AE33" s="641"/>
      <c r="AF33" s="600"/>
      <c r="AG33" s="600"/>
      <c r="AH33" s="436"/>
      <c r="AI33" s="436"/>
      <c r="AJ33" s="436"/>
      <c r="AK33" s="436"/>
      <c r="AL33" s="436"/>
      <c r="AM33" s="434" t="s">
        <v>518</v>
      </c>
      <c r="AN33" s="434" t="s">
        <v>521</v>
      </c>
      <c r="AO33" s="493">
        <f>MAX(AO17*E78/100,(1.003*AO27))</f>
        <v>48.88</v>
      </c>
      <c r="AP33" s="494"/>
      <c r="AQ33" s="494"/>
      <c r="AR33" s="494"/>
      <c r="AS33" s="483"/>
      <c r="AT33" s="483"/>
      <c r="AU33" s="483" t="s">
        <v>277</v>
      </c>
      <c r="AV33" s="483" t="s">
        <v>277</v>
      </c>
      <c r="AW33" s="483"/>
      <c r="AX33" s="434">
        <f>IF(AND(G33&lt;&gt;0,OR(H33&gt;2,H33&lt;1)),1,0)</f>
        <v>0</v>
      </c>
      <c r="AY33" s="434">
        <f>IF(G33&lt;&gt;0,IF(H33=1,G33*D33,G33*C33*D33/1000),0)</f>
        <v>0</v>
      </c>
      <c r="AZ33" s="436"/>
    </row>
    <row r="34" spans="1:53" ht="13.5" hidden="1" customHeight="1" thickBot="1">
      <c r="A34" s="553" t="str">
        <f>"*"</f>
        <v>*</v>
      </c>
      <c r="B34" s="642"/>
      <c r="C34" s="611"/>
      <c r="D34" s="610"/>
      <c r="E34" s="436"/>
      <c r="F34" s="611"/>
      <c r="G34" s="610"/>
      <c r="J34" s="629"/>
      <c r="K34" s="436"/>
      <c r="L34" s="436"/>
      <c r="M34" s="611"/>
      <c r="N34" s="436"/>
      <c r="O34" s="509"/>
      <c r="P34" s="509"/>
      <c r="Q34" s="542"/>
      <c r="R34" s="509"/>
      <c r="S34" s="542"/>
      <c r="T34" s="509"/>
      <c r="U34" s="643"/>
      <c r="V34" s="644"/>
      <c r="W34" s="644"/>
      <c r="X34" s="644"/>
      <c r="Y34" s="509"/>
      <c r="Z34" s="509"/>
      <c r="AA34" s="645"/>
      <c r="AB34" s="640"/>
      <c r="AC34" s="509"/>
      <c r="AD34" s="509"/>
      <c r="AE34" s="509"/>
      <c r="AF34" s="509"/>
      <c r="AG34" s="509"/>
      <c r="AN34" s="435" t="s">
        <v>341</v>
      </c>
      <c r="AQ34" s="436"/>
      <c r="AR34" s="646"/>
      <c r="AS34" s="484"/>
      <c r="AT34" s="484"/>
      <c r="AU34" s="483" t="s">
        <v>277</v>
      </c>
      <c r="AV34" s="483" t="s">
        <v>277</v>
      </c>
      <c r="AW34" s="483" t="s">
        <v>342</v>
      </c>
      <c r="AZ34" s="436"/>
    </row>
    <row r="35" spans="1:53" s="532" customFormat="1" ht="16.5" customHeight="1" thickTop="1">
      <c r="A35" s="628" t="s">
        <v>331</v>
      </c>
      <c r="B35" s="610" t="s">
        <v>343</v>
      </c>
      <c r="C35" s="611"/>
      <c r="D35" s="610" t="s">
        <v>344</v>
      </c>
      <c r="E35" s="436"/>
      <c r="F35" s="611"/>
      <c r="G35" s="621" t="s">
        <v>514</v>
      </c>
      <c r="H35" s="436"/>
      <c r="I35" s="436"/>
      <c r="J35" s="629"/>
      <c r="K35" s="436"/>
      <c r="L35" s="436"/>
      <c r="M35" s="611"/>
      <c r="N35" s="519"/>
      <c r="O35" s="647"/>
      <c r="P35" s="648"/>
      <c r="Q35" s="648"/>
      <c r="R35" s="649"/>
      <c r="S35" s="650"/>
      <c r="T35" s="651" t="s">
        <v>345</v>
      </c>
      <c r="U35" s="652"/>
      <c r="V35" s="653"/>
      <c r="W35" s="653"/>
      <c r="X35" s="653"/>
      <c r="Y35" s="653"/>
      <c r="Z35" s="653"/>
      <c r="AA35" s="653"/>
      <c r="AB35" s="653"/>
      <c r="AC35" s="654" t="s">
        <v>346</v>
      </c>
      <c r="AD35" s="655"/>
      <c r="AE35" s="655"/>
      <c r="AF35" s="655"/>
      <c r="AG35" s="656"/>
      <c r="AH35" s="434"/>
      <c r="AI35" s="443"/>
      <c r="AJ35" s="444"/>
      <c r="AK35" s="434"/>
      <c r="AL35" s="434"/>
      <c r="AM35" s="434"/>
      <c r="AN35" s="434"/>
      <c r="AO35" s="434"/>
      <c r="AP35" s="434"/>
      <c r="AQ35" s="436"/>
      <c r="AR35" s="434"/>
      <c r="AS35" s="434"/>
      <c r="AT35" s="483"/>
      <c r="AU35" s="483" t="s">
        <v>277</v>
      </c>
      <c r="AV35" s="483" t="s">
        <v>277</v>
      </c>
      <c r="AW35" s="483"/>
      <c r="AZ35" s="436"/>
    </row>
    <row r="36" spans="1:53" s="532" customFormat="1" ht="17.25" customHeight="1">
      <c r="A36" s="628"/>
      <c r="B36" s="657" t="s">
        <v>347</v>
      </c>
      <c r="C36" s="658"/>
      <c r="D36" s="657" t="s">
        <v>348</v>
      </c>
      <c r="E36" s="658"/>
      <c r="F36" s="660"/>
      <c r="G36" s="659" t="s">
        <v>513</v>
      </c>
      <c r="H36" s="658"/>
      <c r="I36" s="658"/>
      <c r="J36" s="661"/>
      <c r="K36" s="658"/>
      <c r="L36" s="658"/>
      <c r="M36" s="660"/>
      <c r="N36" s="436"/>
      <c r="O36" s="662"/>
      <c r="P36" s="663" t="s">
        <v>349</v>
      </c>
      <c r="Q36" s="664"/>
      <c r="R36" s="665" t="s">
        <v>350</v>
      </c>
      <c r="S36" s="666" t="s">
        <v>351</v>
      </c>
      <c r="T36" s="666" t="s">
        <v>352</v>
      </c>
      <c r="U36" s="667" t="s">
        <v>353</v>
      </c>
      <c r="V36" s="668"/>
      <c r="W36" s="669" t="s">
        <v>354</v>
      </c>
      <c r="X36" s="670"/>
      <c r="Y36" s="670"/>
      <c r="Z36" s="670"/>
      <c r="AA36" s="668"/>
      <c r="AB36" s="668"/>
      <c r="AC36" s="671" t="s">
        <v>355</v>
      </c>
      <c r="AD36" s="672" t="s">
        <v>356</v>
      </c>
      <c r="AE36" s="673"/>
      <c r="AF36" s="674" t="s">
        <v>355</v>
      </c>
      <c r="AG36" s="675" t="s">
        <v>355</v>
      </c>
      <c r="AH36" s="676" t="s">
        <v>357</v>
      </c>
      <c r="AI36" s="677" t="s">
        <v>358</v>
      </c>
      <c r="AJ36" s="444" t="s">
        <v>359</v>
      </c>
      <c r="AK36" s="646" t="s">
        <v>360</v>
      </c>
      <c r="AL36" s="646" t="s">
        <v>361</v>
      </c>
      <c r="AM36" s="646" t="s">
        <v>362</v>
      </c>
      <c r="AN36" s="646" t="s">
        <v>363</v>
      </c>
      <c r="AO36" s="646" t="s">
        <v>364</v>
      </c>
      <c r="AP36" s="646" t="s">
        <v>365</v>
      </c>
      <c r="AQ36" s="436"/>
      <c r="AR36" s="646" t="s">
        <v>238</v>
      </c>
      <c r="AS36" s="484" t="s">
        <v>350</v>
      </c>
      <c r="AT36" s="484" t="s">
        <v>7</v>
      </c>
      <c r="AU36" s="483" t="s">
        <v>277</v>
      </c>
      <c r="AV36" s="483" t="s">
        <v>277</v>
      </c>
      <c r="AW36" s="483"/>
      <c r="AZ36" s="436"/>
    </row>
    <row r="37" spans="1:53" s="532" customFormat="1" ht="15" customHeight="1" thickBot="1">
      <c r="A37" s="628"/>
      <c r="B37" s="436"/>
      <c r="C37" s="436"/>
      <c r="D37" s="678" t="s">
        <v>238</v>
      </c>
      <c r="E37" s="679" t="s">
        <v>366</v>
      </c>
      <c r="F37" s="1244" t="s">
        <v>7</v>
      </c>
      <c r="G37" s="1245"/>
      <c r="H37" s="679" t="s">
        <v>367</v>
      </c>
      <c r="I37" s="658"/>
      <c r="J37" s="680" t="s">
        <v>354</v>
      </c>
      <c r="K37" s="681"/>
      <c r="L37" s="681"/>
      <c r="M37" s="682"/>
      <c r="N37" s="519"/>
      <c r="O37" s="683"/>
      <c r="P37" s="684"/>
      <c r="Q37" s="684"/>
      <c r="R37" s="685"/>
      <c r="S37" s="686"/>
      <c r="T37" s="687" t="s">
        <v>368</v>
      </c>
      <c r="U37" s="688"/>
      <c r="V37" s="689"/>
      <c r="W37" s="690" t="s">
        <v>369</v>
      </c>
      <c r="X37" s="691"/>
      <c r="Y37" s="691"/>
      <c r="Z37" s="691"/>
      <c r="AA37" s="689"/>
      <c r="AB37" s="689"/>
      <c r="AC37" s="692" t="s">
        <v>370</v>
      </c>
      <c r="AD37" s="693" t="s">
        <v>371</v>
      </c>
      <c r="AE37" s="694" t="s">
        <v>372</v>
      </c>
      <c r="AF37" s="694" t="s">
        <v>373</v>
      </c>
      <c r="AG37" s="695" t="s">
        <v>374</v>
      </c>
      <c r="AH37" s="676"/>
      <c r="AI37" s="677"/>
      <c r="AJ37" s="444"/>
      <c r="AK37" s="646"/>
      <c r="AL37" s="646"/>
      <c r="AM37" s="646"/>
      <c r="AN37" s="646"/>
      <c r="AO37" s="646"/>
      <c r="AP37" s="646"/>
      <c r="AQ37" s="436"/>
      <c r="AR37" s="646"/>
      <c r="AS37" s="484"/>
      <c r="AT37" s="484"/>
      <c r="AU37" s="483" t="s">
        <v>277</v>
      </c>
      <c r="AV37" s="483" t="s">
        <v>277</v>
      </c>
      <c r="AW37" s="483"/>
      <c r="AX37" s="676" t="s">
        <v>375</v>
      </c>
      <c r="AY37" s="676" t="s">
        <v>376</v>
      </c>
      <c r="AZ37" s="676" t="s">
        <v>377</v>
      </c>
      <c r="BA37" s="434" t="str">
        <f t="shared" ref="BA37:BA67" si="12">J37</f>
        <v>Commentaires</v>
      </c>
    </row>
    <row r="38" spans="1:53" ht="12.9" customHeight="1" thickTop="1">
      <c r="A38" s="696">
        <f t="shared" ref="A38:A46" si="13">IF(OR(ISBLANK(D38),MID(D38,1,1)=" "),IF(OR(ISBLANK(E38),E38=0),,"*"),IF(ISERR(SEARCH(MID(D38,1,1),H38,1)),"*",))</f>
        <v>0</v>
      </c>
      <c r="B38" s="434" t="str">
        <f t="shared" ref="B38:B44" si="14">O38&amp;" "&amp;P38</f>
        <v>111 Terrain</v>
      </c>
      <c r="C38" s="436"/>
      <c r="D38" s="697" t="str">
        <f t="shared" ref="D38:D46" si="15">AR38</f>
        <v>A</v>
      </c>
      <c r="E38" s="698">
        <v>420</v>
      </c>
      <c r="F38" s="894"/>
      <c r="G38" s="895">
        <v>20</v>
      </c>
      <c r="H38" s="434" t="s">
        <v>246</v>
      </c>
      <c r="I38" s="436"/>
      <c r="J38" s="884"/>
      <c r="K38" s="885"/>
      <c r="L38" s="885"/>
      <c r="M38" s="886"/>
      <c r="N38" s="699"/>
      <c r="O38" s="700">
        <v>111</v>
      </c>
      <c r="P38" s="638" t="s">
        <v>14</v>
      </c>
      <c r="Q38" s="701"/>
      <c r="R38" s="702">
        <f t="shared" ref="R38:R46" si="16">IF(OR(D38="N",D38="P",D38="Q"),INT(E38)&amp;" "&amp;Sigle_Monnaie,IF(D38="A",,E38/100))</f>
        <v>0</v>
      </c>
      <c r="S38" s="703">
        <f t="shared" ref="S38:S46" si="17">IF(OR(ISBLANK(D38),MID(D38,1,1)=" "),,ROUND(IF(SEARCH(MID(D38,1,1),H38,1)&gt;0,IF(OR(D38="N",D38="P",D38="Q"),VLOOKUP(MID(D38,1,1),BASE,3)*E38/1000,VLOOKUP(MID(D38,1,1),BASE,3)*E38/100),),0))</f>
        <v>420</v>
      </c>
      <c r="T38" s="704"/>
      <c r="U38" s="705">
        <f t="shared" ref="U38:U54" si="18">AI38</f>
        <v>504</v>
      </c>
      <c r="V38" s="706" t="str">
        <f t="shared" ref="V38:V70" si="19">IF(OR(ISBLANK(BA38),BA38=0),IF(OR(ISBLANK(D38),MID(D38,1,1)=" ",D38="A"),AX38&amp;AY38&amp;AZ38&amp;LIB_BLANC,IF(SEARCH(MID(D38,1,1),D38,1)&gt;0,AX38&amp;AY38&amp;AZ38&amp;VLOOKUP(MID(D38,1,1),BASE,2),)),AX38&amp;AY38&amp;AZ38&amp;BA38&amp;" "&amp;LIB_BLANC)</f>
        <v>TVA 20. . . . . . . . . . . . . . . . . . . . . . . . . . . . . . . . . . . . . . . . . . . . . . . . . . . . . . . . . . . . . . . . . . . .</v>
      </c>
      <c r="W38" s="509"/>
      <c r="X38" s="403"/>
      <c r="Y38" s="403"/>
      <c r="Z38" s="509"/>
      <c r="AA38" s="509"/>
      <c r="AB38" s="707"/>
      <c r="AC38" s="708">
        <f t="shared" ref="AC38:AC46" si="20">IF($Q$20&lt;&gt;0,S38/$Q$20*1000,0)</f>
        <v>269.23076923076923</v>
      </c>
      <c r="AD38" s="709">
        <f t="shared" ref="AD38:AD55" si="21">IF(SURF_HABIT&lt;&gt;0,AK38/SURF_HABIT*1000,0)</f>
        <v>284.69557908436479</v>
      </c>
      <c r="AE38" s="710">
        <f t="shared" ref="AE38:AE55" si="22">IF(NB_LOGT&lt;&gt;0,AK38/NB_LOGT,0)</f>
        <v>19.09090909090909</v>
      </c>
      <c r="AF38" s="710">
        <f t="shared" ref="AF38:AF55" si="23">IF($AE$21&lt;&gt;0,AL38/$AE$21,0)</f>
        <v>0</v>
      </c>
      <c r="AG38" s="711">
        <f t="shared" ref="AG38:AG47" si="24">IF(SURF_UTIL&lt;&gt;0,(AM38/SURF_UTIL)*1000,0)</f>
        <v>0</v>
      </c>
      <c r="AH38" s="434">
        <f t="shared" ref="AH38:AH46" si="25">1+(G38/100)</f>
        <v>1.2</v>
      </c>
      <c r="AI38" s="443">
        <f>ROUND(TERRHT*AH38,0)</f>
        <v>504</v>
      </c>
      <c r="AK38" s="443">
        <f t="shared" ref="AK38:AK46" si="26">IF(OR(ISBLANK(D38),MID(D38,1,1)=" "),,ROUND(IF(SEARCH(MID(D38,1,1),H38,1)&gt;0,VLOOKUP(MID(D38,1,1),BASE,4)*E38/100,),0))</f>
        <v>420</v>
      </c>
      <c r="AL38" s="443">
        <f t="shared" ref="AL38:AL46" si="27">IF(OR(ISBLANK(D38),MID(D38,1,1)=" "),,ROUND(IF(SEARCH(MID(D38,1,1),H38,1)&gt;0,VLOOKUP(MID(D38,1,1),BASE,5)*E38/100,),0))</f>
        <v>0</v>
      </c>
      <c r="AM38" s="443">
        <f t="shared" ref="AM38:AM46" si="28">IF(OR(ISBLANK(D38),MID(D38,1,1)=" "),,ROUND(IF(SEARCH(MID(D38,1,1),H38,1)&gt;0,VLOOKUP(MID(D38,1,1),BASE,6)*E38/100,),0))</f>
        <v>0</v>
      </c>
      <c r="AN38" s="712">
        <f t="shared" ref="AN38:AN46" si="29">AK38*AH38</f>
        <v>504</v>
      </c>
      <c r="AO38" s="712">
        <f t="shared" ref="AO38:AP46" si="30">AL38*$AH38</f>
        <v>0</v>
      </c>
      <c r="AP38" s="712">
        <f t="shared" si="30"/>
        <v>0</v>
      </c>
      <c r="AQ38" s="436"/>
      <c r="AR38" s="713" t="s">
        <v>246</v>
      </c>
      <c r="AS38" s="714">
        <v>0</v>
      </c>
      <c r="AT38" s="434">
        <v>19.600000000000001</v>
      </c>
      <c r="AU38" s="434" t="str">
        <f>IF(TERRHT=0,"SL","LL")</f>
        <v>LL</v>
      </c>
      <c r="AV38" s="483" t="s">
        <v>277</v>
      </c>
      <c r="AW38" s="483">
        <f t="shared" ref="AW38:AW68" si="31">IF(A38="*",1,0)</f>
        <v>0</v>
      </c>
      <c r="AX38" s="435" t="str">
        <f t="shared" ref="AX38:AX46" si="32">IF(D38&lt;&gt;AR38,"BM,","")</f>
        <v/>
      </c>
      <c r="AY38" s="435" t="str">
        <f t="shared" ref="AY38:AY45" si="33">IF(AND(D38&lt;&gt;"A",E38&lt;&gt;AS38),"TM,","")</f>
        <v/>
      </c>
      <c r="AZ38" s="435" t="str">
        <f t="shared" ref="AZ38:AZ46" si="34">IF(G38&lt;&gt;AT38,IF(G38=0,"TVA 0,00","TVA "&amp;G38),"")</f>
        <v>TVA 20</v>
      </c>
      <c r="BA38" s="715">
        <f t="shared" si="12"/>
        <v>0</v>
      </c>
    </row>
    <row r="39" spans="1:53" ht="12.9" customHeight="1">
      <c r="A39" s="696">
        <f t="shared" si="13"/>
        <v>0</v>
      </c>
      <c r="B39" s="434" t="str">
        <f t="shared" si="14"/>
        <v>112 Frais notaire</v>
      </c>
      <c r="C39" s="436"/>
      <c r="D39" s="697" t="str">
        <f t="shared" si="15"/>
        <v>B</v>
      </c>
      <c r="E39" s="698">
        <v>2</v>
      </c>
      <c r="F39" s="894"/>
      <c r="G39" s="895">
        <f>AT39</f>
        <v>0</v>
      </c>
      <c r="H39" s="434" t="s">
        <v>533</v>
      </c>
      <c r="I39" s="436"/>
      <c r="J39" s="884"/>
      <c r="K39" s="885"/>
      <c r="L39" s="885"/>
      <c r="M39" s="886"/>
      <c r="N39" s="699"/>
      <c r="O39" s="700">
        <v>112</v>
      </c>
      <c r="P39" s="638" t="s">
        <v>379</v>
      </c>
      <c r="Q39" s="701"/>
      <c r="R39" s="702">
        <f t="shared" si="16"/>
        <v>0.02</v>
      </c>
      <c r="S39" s="703">
        <f t="shared" si="17"/>
        <v>8</v>
      </c>
      <c r="T39" s="701"/>
      <c r="U39" s="705">
        <f t="shared" si="18"/>
        <v>8</v>
      </c>
      <c r="V39" s="706" t="str">
        <f t="shared" si="19"/>
        <v>TM,TERRAIN HT. . . . . . .  . . . . . . . . . . . . . . . . . . . . . . . .. . . . . . . . . . . . . . . . . . . . . . . . . .</v>
      </c>
      <c r="W39" s="509"/>
      <c r="X39" s="403"/>
      <c r="Y39" s="403"/>
      <c r="Z39" s="509"/>
      <c r="AA39" s="509"/>
      <c r="AB39" s="707"/>
      <c r="AC39" s="708">
        <f t="shared" si="20"/>
        <v>5.1282051282051286</v>
      </c>
      <c r="AD39" s="709">
        <f t="shared" si="21"/>
        <v>5.4227729349402818</v>
      </c>
      <c r="AE39" s="710">
        <f t="shared" si="22"/>
        <v>0.36363636363636365</v>
      </c>
      <c r="AF39" s="710">
        <f t="shared" si="23"/>
        <v>0</v>
      </c>
      <c r="AG39" s="711">
        <f t="shared" si="24"/>
        <v>0</v>
      </c>
      <c r="AH39" s="434">
        <f t="shared" si="25"/>
        <v>1</v>
      </c>
      <c r="AI39" s="443">
        <f>ROUND(FNOTHT*AH39,0)</f>
        <v>8</v>
      </c>
      <c r="AK39" s="443">
        <f t="shared" si="26"/>
        <v>8</v>
      </c>
      <c r="AL39" s="443">
        <f t="shared" si="27"/>
        <v>0</v>
      </c>
      <c r="AM39" s="443">
        <f t="shared" si="28"/>
        <v>0</v>
      </c>
      <c r="AN39" s="712">
        <f t="shared" si="29"/>
        <v>8</v>
      </c>
      <c r="AO39" s="712">
        <f t="shared" si="30"/>
        <v>0</v>
      </c>
      <c r="AP39" s="712">
        <f t="shared" si="30"/>
        <v>0</v>
      </c>
      <c r="AQ39" s="436"/>
      <c r="AR39" s="716" t="s">
        <v>248</v>
      </c>
      <c r="AS39" s="717">
        <v>1.8</v>
      </c>
      <c r="AT39" s="718">
        <v>0</v>
      </c>
      <c r="AU39" s="434" t="str">
        <f>IF(FNOTHT=0,"SL","LL")</f>
        <v>LL</v>
      </c>
      <c r="AV39" s="483" t="s">
        <v>277</v>
      </c>
      <c r="AW39" s="483">
        <f t="shared" si="31"/>
        <v>0</v>
      </c>
      <c r="AX39" s="719" t="str">
        <f t="shared" si="32"/>
        <v/>
      </c>
      <c r="AY39" s="434" t="str">
        <f t="shared" si="33"/>
        <v>TM,</v>
      </c>
      <c r="AZ39" s="434" t="str">
        <f t="shared" si="34"/>
        <v/>
      </c>
      <c r="BA39" s="715">
        <f t="shared" si="12"/>
        <v>0</v>
      </c>
    </row>
    <row r="40" spans="1:53" ht="12.9" customHeight="1">
      <c r="A40" s="696">
        <f t="shared" si="13"/>
        <v>0</v>
      </c>
      <c r="B40" s="434" t="str">
        <f t="shared" si="14"/>
        <v>113 Indemnités diverses</v>
      </c>
      <c r="C40" s="436"/>
      <c r="D40" s="697" t="str">
        <f t="shared" si="15"/>
        <v>A</v>
      </c>
      <c r="E40" s="698"/>
      <c r="F40" s="894"/>
      <c r="G40" s="895">
        <f>AT40</f>
        <v>0</v>
      </c>
      <c r="H40" s="434" t="s">
        <v>378</v>
      </c>
      <c r="I40" s="436"/>
      <c r="J40" s="884"/>
      <c r="K40" s="885"/>
      <c r="L40" s="885"/>
      <c r="M40" s="886"/>
      <c r="N40" s="699"/>
      <c r="O40" s="700">
        <v>113</v>
      </c>
      <c r="P40" s="638" t="s">
        <v>380</v>
      </c>
      <c r="Q40" s="701"/>
      <c r="R40" s="702">
        <f t="shared" si="16"/>
        <v>0</v>
      </c>
      <c r="S40" s="703">
        <f t="shared" si="17"/>
        <v>0</v>
      </c>
      <c r="T40" s="701"/>
      <c r="U40" s="705">
        <f t="shared" si="18"/>
        <v>0</v>
      </c>
      <c r="V40" s="706" t="str">
        <f t="shared" si="19"/>
        <v>. . . . . . . . . . . . . . . . . . . . . . . . . . . . . . . . . . . . . . . . . . . . . . . . . . . . . . . . . . . . . . . . . . . .</v>
      </c>
      <c r="W40" s="509"/>
      <c r="X40" s="403"/>
      <c r="Y40" s="403"/>
      <c r="Z40" s="509"/>
      <c r="AA40" s="509"/>
      <c r="AB40" s="707"/>
      <c r="AC40" s="708">
        <f t="shared" si="20"/>
        <v>0</v>
      </c>
      <c r="AD40" s="709">
        <f t="shared" si="21"/>
        <v>0</v>
      </c>
      <c r="AE40" s="710">
        <f t="shared" si="22"/>
        <v>0</v>
      </c>
      <c r="AF40" s="710">
        <f t="shared" si="23"/>
        <v>0</v>
      </c>
      <c r="AG40" s="711">
        <f t="shared" si="24"/>
        <v>0</v>
      </c>
      <c r="AH40" s="434">
        <f t="shared" si="25"/>
        <v>1</v>
      </c>
      <c r="AI40" s="443">
        <f>ROUND(INDIHT*AH40,0)</f>
        <v>0</v>
      </c>
      <c r="AK40" s="443">
        <f t="shared" si="26"/>
        <v>0</v>
      </c>
      <c r="AL40" s="443">
        <f t="shared" si="27"/>
        <v>0</v>
      </c>
      <c r="AM40" s="443">
        <f t="shared" si="28"/>
        <v>0</v>
      </c>
      <c r="AN40" s="712">
        <f t="shared" si="29"/>
        <v>0</v>
      </c>
      <c r="AO40" s="712">
        <f t="shared" si="30"/>
        <v>0</v>
      </c>
      <c r="AP40" s="712">
        <f t="shared" si="30"/>
        <v>0</v>
      </c>
      <c r="AQ40" s="436"/>
      <c r="AR40" s="716" t="s">
        <v>246</v>
      </c>
      <c r="AS40" s="717">
        <v>0</v>
      </c>
      <c r="AT40" s="718">
        <v>0</v>
      </c>
      <c r="AU40" s="434" t="str">
        <f>IF(INDIHT=0,"SL","LL")</f>
        <v>SL</v>
      </c>
      <c r="AV40" s="434" t="s">
        <v>277</v>
      </c>
      <c r="AW40" s="483">
        <f t="shared" si="31"/>
        <v>0</v>
      </c>
      <c r="AX40" s="719" t="str">
        <f t="shared" si="32"/>
        <v/>
      </c>
      <c r="AY40" s="434" t="str">
        <f t="shared" si="33"/>
        <v/>
      </c>
      <c r="AZ40" s="434" t="str">
        <f t="shared" si="34"/>
        <v/>
      </c>
      <c r="BA40" s="715">
        <f t="shared" si="12"/>
        <v>0</v>
      </c>
    </row>
    <row r="41" spans="1:53" ht="12.9" customHeight="1">
      <c r="A41" s="696">
        <f t="shared" si="13"/>
        <v>0</v>
      </c>
      <c r="B41" s="434" t="str">
        <f t="shared" si="14"/>
        <v>114 Sondage</v>
      </c>
      <c r="C41" s="436"/>
      <c r="D41" s="697" t="str">
        <f t="shared" si="15"/>
        <v>A</v>
      </c>
      <c r="E41" s="698">
        <v>14</v>
      </c>
      <c r="F41" s="894"/>
      <c r="G41" s="895">
        <v>20</v>
      </c>
      <c r="H41" s="434" t="s">
        <v>378</v>
      </c>
      <c r="I41" s="436"/>
      <c r="J41" s="884"/>
      <c r="K41" s="885"/>
      <c r="L41" s="885"/>
      <c r="M41" s="886"/>
      <c r="N41" s="699"/>
      <c r="O41" s="700">
        <v>114</v>
      </c>
      <c r="P41" s="638" t="s">
        <v>381</v>
      </c>
      <c r="Q41" s="701"/>
      <c r="R41" s="702">
        <f t="shared" si="16"/>
        <v>0</v>
      </c>
      <c r="S41" s="703">
        <f t="shared" si="17"/>
        <v>14</v>
      </c>
      <c r="T41" s="701"/>
      <c r="U41" s="705">
        <f t="shared" si="18"/>
        <v>17</v>
      </c>
      <c r="V41" s="706" t="str">
        <f t="shared" si="19"/>
        <v>TVA 20. . . . . . . . . . . . . . . . . . . . . . . . . . . . . . . . . . . . . . . . . . . . . . . . . . . . . . . . . . . . . . . . . . . .</v>
      </c>
      <c r="W41" s="509"/>
      <c r="X41" s="403"/>
      <c r="Y41" s="403"/>
      <c r="Z41" s="509"/>
      <c r="AA41" s="509"/>
      <c r="AB41" s="707"/>
      <c r="AC41" s="708">
        <f t="shared" si="20"/>
        <v>8.9743589743589745</v>
      </c>
      <c r="AD41" s="709">
        <f t="shared" si="21"/>
        <v>9.4898526361454927</v>
      </c>
      <c r="AE41" s="710">
        <f t="shared" si="22"/>
        <v>0.63636363636363635</v>
      </c>
      <c r="AF41" s="710">
        <f t="shared" si="23"/>
        <v>0</v>
      </c>
      <c r="AG41" s="711">
        <f t="shared" si="24"/>
        <v>0</v>
      </c>
      <c r="AH41" s="434">
        <f t="shared" si="25"/>
        <v>1.2</v>
      </c>
      <c r="AI41" s="443">
        <f>ROUND(S41*AH41,0)</f>
        <v>17</v>
      </c>
      <c r="AK41" s="443">
        <f t="shared" si="26"/>
        <v>14</v>
      </c>
      <c r="AL41" s="443">
        <f t="shared" si="27"/>
        <v>0</v>
      </c>
      <c r="AM41" s="443">
        <f t="shared" si="28"/>
        <v>0</v>
      </c>
      <c r="AN41" s="712">
        <f t="shared" si="29"/>
        <v>16.8</v>
      </c>
      <c r="AO41" s="712">
        <f t="shared" si="30"/>
        <v>0</v>
      </c>
      <c r="AP41" s="712">
        <f t="shared" si="30"/>
        <v>0</v>
      </c>
      <c r="AQ41" s="436"/>
      <c r="AR41" s="716" t="s">
        <v>246</v>
      </c>
      <c r="AS41" s="717">
        <v>0</v>
      </c>
      <c r="AT41" s="434">
        <v>19.600000000000001</v>
      </c>
      <c r="AU41" s="434" t="str">
        <f>IF(S41=0,"SL","LL")</f>
        <v>LL</v>
      </c>
      <c r="AV41" s="434" t="s">
        <v>277</v>
      </c>
      <c r="AW41" s="483">
        <f t="shared" si="31"/>
        <v>0</v>
      </c>
      <c r="AX41" s="719" t="str">
        <f t="shared" si="32"/>
        <v/>
      </c>
      <c r="AY41" s="434" t="str">
        <f t="shared" si="33"/>
        <v/>
      </c>
      <c r="AZ41" s="434" t="str">
        <f t="shared" si="34"/>
        <v>TVA 20</v>
      </c>
      <c r="BA41" s="715">
        <f t="shared" si="12"/>
        <v>0</v>
      </c>
    </row>
    <row r="42" spans="1:53" ht="12.9" customHeight="1">
      <c r="A42" s="696">
        <f t="shared" si="13"/>
        <v>0</v>
      </c>
      <c r="B42" s="434" t="str">
        <f t="shared" si="14"/>
        <v>115 Comm. intermed.</v>
      </c>
      <c r="C42" s="720"/>
      <c r="D42" s="697" t="str">
        <f t="shared" si="15"/>
        <v>A</v>
      </c>
      <c r="E42" s="698"/>
      <c r="F42" s="894"/>
      <c r="G42" s="895">
        <v>20</v>
      </c>
      <c r="H42" s="434" t="s">
        <v>378</v>
      </c>
      <c r="I42" s="436"/>
      <c r="J42" s="884"/>
      <c r="K42" s="885"/>
      <c r="L42" s="885"/>
      <c r="M42" s="886"/>
      <c r="N42" s="699"/>
      <c r="O42" s="700">
        <v>115</v>
      </c>
      <c r="P42" s="638" t="s">
        <v>382</v>
      </c>
      <c r="Q42" s="701"/>
      <c r="R42" s="702">
        <f t="shared" si="16"/>
        <v>0</v>
      </c>
      <c r="S42" s="703">
        <f t="shared" si="17"/>
        <v>0</v>
      </c>
      <c r="T42" s="701"/>
      <c r="U42" s="705">
        <f t="shared" si="18"/>
        <v>0</v>
      </c>
      <c r="V42" s="706" t="str">
        <f t="shared" si="19"/>
        <v>TVA 20. . . . . . . . . . . . . . . . . . . . . . . . . . . . . . . . . . . . . . . . . . . . . . . . . . . . . . . . . . . . . . . . . . . .</v>
      </c>
      <c r="W42" s="509"/>
      <c r="X42" s="403"/>
      <c r="Y42" s="403"/>
      <c r="Z42" s="509"/>
      <c r="AA42" s="509"/>
      <c r="AB42" s="707"/>
      <c r="AC42" s="708">
        <f t="shared" si="20"/>
        <v>0</v>
      </c>
      <c r="AD42" s="709">
        <f t="shared" si="21"/>
        <v>0</v>
      </c>
      <c r="AE42" s="710">
        <f t="shared" si="22"/>
        <v>0</v>
      </c>
      <c r="AF42" s="710">
        <f t="shared" si="23"/>
        <v>0</v>
      </c>
      <c r="AG42" s="711">
        <f t="shared" si="24"/>
        <v>0</v>
      </c>
      <c r="AH42" s="434">
        <f t="shared" si="25"/>
        <v>1.2</v>
      </c>
      <c r="AI42" s="443">
        <f>ROUND(SONDHT*AH42,0)</f>
        <v>0</v>
      </c>
      <c r="AK42" s="443">
        <f t="shared" si="26"/>
        <v>0</v>
      </c>
      <c r="AL42" s="443">
        <f t="shared" si="27"/>
        <v>0</v>
      </c>
      <c r="AM42" s="443">
        <f t="shared" si="28"/>
        <v>0</v>
      </c>
      <c r="AN42" s="712">
        <f t="shared" si="29"/>
        <v>0</v>
      </c>
      <c r="AO42" s="712">
        <f t="shared" si="30"/>
        <v>0</v>
      </c>
      <c r="AP42" s="712">
        <f t="shared" si="30"/>
        <v>0</v>
      </c>
      <c r="AQ42" s="436"/>
      <c r="AR42" s="716" t="s">
        <v>246</v>
      </c>
      <c r="AS42" s="717">
        <v>0</v>
      </c>
      <c r="AT42" s="434">
        <v>19.600000000000001</v>
      </c>
      <c r="AU42" s="434" t="str">
        <f>IF(SONDHT=0,"SL","LL")</f>
        <v>SL</v>
      </c>
      <c r="AV42" s="434" t="s">
        <v>277</v>
      </c>
      <c r="AW42" s="483">
        <f t="shared" si="31"/>
        <v>0</v>
      </c>
      <c r="AX42" s="719" t="str">
        <f t="shared" si="32"/>
        <v/>
      </c>
      <c r="AY42" s="434" t="str">
        <f t="shared" si="33"/>
        <v/>
      </c>
      <c r="AZ42" s="434" t="str">
        <f t="shared" si="34"/>
        <v>TVA 20</v>
      </c>
      <c r="BA42" s="715">
        <f t="shared" si="12"/>
        <v>0</v>
      </c>
    </row>
    <row r="43" spans="1:53" ht="12.9" customHeight="1">
      <c r="A43" s="696">
        <f t="shared" si="13"/>
        <v>0</v>
      </c>
      <c r="B43" s="434" t="str">
        <f t="shared" si="14"/>
        <v>116 Démolitions</v>
      </c>
      <c r="C43" s="436"/>
      <c r="D43" s="697" t="str">
        <f t="shared" si="15"/>
        <v>A</v>
      </c>
      <c r="E43" s="698">
        <f>AS43</f>
        <v>0</v>
      </c>
      <c r="F43" s="894"/>
      <c r="G43" s="895">
        <v>20</v>
      </c>
      <c r="H43" s="434" t="s">
        <v>378</v>
      </c>
      <c r="I43" s="436"/>
      <c r="J43" s="884"/>
      <c r="K43" s="885"/>
      <c r="L43" s="885"/>
      <c r="M43" s="886"/>
      <c r="N43" s="699"/>
      <c r="O43" s="700">
        <v>116</v>
      </c>
      <c r="P43" s="638" t="s">
        <v>383</v>
      </c>
      <c r="Q43" s="701"/>
      <c r="R43" s="702">
        <f t="shared" si="16"/>
        <v>0</v>
      </c>
      <c r="S43" s="703">
        <f t="shared" si="17"/>
        <v>0</v>
      </c>
      <c r="T43" s="701"/>
      <c r="U43" s="705">
        <f t="shared" si="18"/>
        <v>0</v>
      </c>
      <c r="V43" s="706" t="str">
        <f t="shared" si="19"/>
        <v>TVA 20. . . . . . . . . . . . . . . . . . . . . . . . . . . . . . . . . . . . . . . . . . . . . . . . . . . . . . . . . . . . . . . . . . . .</v>
      </c>
      <c r="W43" s="509"/>
      <c r="X43" s="403"/>
      <c r="Y43" s="403"/>
      <c r="Z43" s="509"/>
      <c r="AA43" s="509"/>
      <c r="AB43" s="707"/>
      <c r="AC43" s="708">
        <f t="shared" si="20"/>
        <v>0</v>
      </c>
      <c r="AD43" s="709">
        <f t="shared" si="21"/>
        <v>0</v>
      </c>
      <c r="AE43" s="710">
        <f t="shared" si="22"/>
        <v>0</v>
      </c>
      <c r="AF43" s="710">
        <f t="shared" si="23"/>
        <v>0</v>
      </c>
      <c r="AG43" s="711">
        <f t="shared" si="24"/>
        <v>0</v>
      </c>
      <c r="AH43" s="434">
        <f t="shared" si="25"/>
        <v>1.2</v>
      </c>
      <c r="AI43" s="443">
        <f>ROUND(DEMOHT*AH43,0)</f>
        <v>0</v>
      </c>
      <c r="AK43" s="443">
        <f t="shared" si="26"/>
        <v>0</v>
      </c>
      <c r="AL43" s="443">
        <f t="shared" si="27"/>
        <v>0</v>
      </c>
      <c r="AM43" s="443">
        <f t="shared" si="28"/>
        <v>0</v>
      </c>
      <c r="AN43" s="712">
        <f t="shared" si="29"/>
        <v>0</v>
      </c>
      <c r="AO43" s="712">
        <f t="shared" si="30"/>
        <v>0</v>
      </c>
      <c r="AP43" s="712">
        <f t="shared" si="30"/>
        <v>0</v>
      </c>
      <c r="AQ43" s="436"/>
      <c r="AR43" s="716" t="s">
        <v>246</v>
      </c>
      <c r="AS43" s="717">
        <v>0</v>
      </c>
      <c r="AT43" s="434">
        <v>19.600000000000001</v>
      </c>
      <c r="AU43" s="434" t="str">
        <f>IF(DEMOHT=0,"SL","LL")</f>
        <v>SL</v>
      </c>
      <c r="AV43" s="434" t="s">
        <v>277</v>
      </c>
      <c r="AW43" s="483">
        <f t="shared" si="31"/>
        <v>0</v>
      </c>
      <c r="AX43" s="719" t="str">
        <f t="shared" si="32"/>
        <v/>
      </c>
      <c r="AY43" s="434" t="str">
        <f t="shared" si="33"/>
        <v/>
      </c>
      <c r="AZ43" s="434" t="str">
        <f t="shared" si="34"/>
        <v>TVA 20</v>
      </c>
      <c r="BA43" s="715">
        <f t="shared" si="12"/>
        <v>0</v>
      </c>
    </row>
    <row r="44" spans="1:53" ht="12.9" customHeight="1">
      <c r="A44" s="696">
        <f t="shared" si="13"/>
        <v>0</v>
      </c>
      <c r="B44" s="434" t="str">
        <f t="shared" si="14"/>
        <v>117 Relevés topographi.</v>
      </c>
      <c r="C44" s="436"/>
      <c r="D44" s="697" t="str">
        <f t="shared" si="15"/>
        <v>A</v>
      </c>
      <c r="E44" s="698"/>
      <c r="F44" s="894"/>
      <c r="G44" s="895">
        <v>20</v>
      </c>
      <c r="H44" s="434" t="s">
        <v>378</v>
      </c>
      <c r="I44" s="436"/>
      <c r="J44" s="884"/>
      <c r="K44" s="885"/>
      <c r="L44" s="885"/>
      <c r="M44" s="886"/>
      <c r="N44" s="699"/>
      <c r="O44" s="700">
        <v>117</v>
      </c>
      <c r="P44" s="638" t="s">
        <v>384</v>
      </c>
      <c r="Q44" s="701"/>
      <c r="R44" s="702">
        <f t="shared" si="16"/>
        <v>0</v>
      </c>
      <c r="S44" s="703">
        <f t="shared" si="17"/>
        <v>0</v>
      </c>
      <c r="T44" s="701"/>
      <c r="U44" s="705">
        <f t="shared" si="18"/>
        <v>0</v>
      </c>
      <c r="V44" s="706" t="str">
        <f t="shared" si="19"/>
        <v>TVA 20. . . . . . . . . . . . . . . . . . . . . . . . . . . . . . . . . . . . . . . . . . . . . . . . . . . . . . . . . . . . . . . . . . . .</v>
      </c>
      <c r="W44" s="509"/>
      <c r="X44" s="403"/>
      <c r="Y44" s="403"/>
      <c r="Z44" s="509"/>
      <c r="AA44" s="509"/>
      <c r="AB44" s="707"/>
      <c r="AC44" s="708">
        <f t="shared" si="20"/>
        <v>0</v>
      </c>
      <c r="AD44" s="709">
        <f t="shared" si="21"/>
        <v>0</v>
      </c>
      <c r="AE44" s="710">
        <f t="shared" si="22"/>
        <v>0</v>
      </c>
      <c r="AF44" s="710">
        <f t="shared" si="23"/>
        <v>0</v>
      </c>
      <c r="AG44" s="711">
        <f t="shared" si="24"/>
        <v>0</v>
      </c>
      <c r="AH44" s="434">
        <f t="shared" si="25"/>
        <v>1.2</v>
      </c>
      <c r="AI44" s="443">
        <f>ROUND(RELTHT*AH44,0)</f>
        <v>0</v>
      </c>
      <c r="AK44" s="443">
        <f t="shared" si="26"/>
        <v>0</v>
      </c>
      <c r="AL44" s="443">
        <f t="shared" si="27"/>
        <v>0</v>
      </c>
      <c r="AM44" s="443">
        <f t="shared" si="28"/>
        <v>0</v>
      </c>
      <c r="AN44" s="712">
        <f t="shared" si="29"/>
        <v>0</v>
      </c>
      <c r="AO44" s="712">
        <f t="shared" si="30"/>
        <v>0</v>
      </c>
      <c r="AP44" s="712">
        <f t="shared" si="30"/>
        <v>0</v>
      </c>
      <c r="AQ44" s="436"/>
      <c r="AR44" s="716" t="s">
        <v>246</v>
      </c>
      <c r="AS44" s="717">
        <v>0</v>
      </c>
      <c r="AT44" s="434">
        <v>19.600000000000001</v>
      </c>
      <c r="AU44" s="434" t="str">
        <f>IF(RELTHT=0,"SL","LL")</f>
        <v>SL</v>
      </c>
      <c r="AV44" s="434" t="s">
        <v>277</v>
      </c>
      <c r="AW44" s="483">
        <f t="shared" si="31"/>
        <v>0</v>
      </c>
      <c r="AX44" s="719" t="str">
        <f t="shared" si="32"/>
        <v/>
      </c>
      <c r="AY44" s="434" t="str">
        <f t="shared" si="33"/>
        <v/>
      </c>
      <c r="AZ44" s="434" t="str">
        <f t="shared" si="34"/>
        <v>TVA 20</v>
      </c>
      <c r="BA44" s="715">
        <f t="shared" si="12"/>
        <v>0</v>
      </c>
    </row>
    <row r="45" spans="1:53" ht="12.75" customHeight="1">
      <c r="A45" s="696">
        <f t="shared" si="13"/>
        <v>0</v>
      </c>
      <c r="B45" s="434" t="str">
        <f>O45&amp;" "&amp;P45</f>
        <v>124 Dépollution</v>
      </c>
      <c r="C45" s="436"/>
      <c r="D45" s="697" t="str">
        <f t="shared" si="15"/>
        <v>A</v>
      </c>
      <c r="E45" s="698">
        <f>AS45</f>
        <v>0</v>
      </c>
      <c r="F45" s="894"/>
      <c r="G45" s="895">
        <v>20</v>
      </c>
      <c r="H45" s="434" t="s">
        <v>378</v>
      </c>
      <c r="I45" s="436"/>
      <c r="J45" s="884"/>
      <c r="K45" s="885"/>
      <c r="L45" s="885"/>
      <c r="M45" s="886"/>
      <c r="N45" s="699"/>
      <c r="O45" s="700">
        <v>124</v>
      </c>
      <c r="P45" s="638" t="s">
        <v>491</v>
      </c>
      <c r="Q45" s="701"/>
      <c r="R45" s="702">
        <f>IF(OR(D45="N",D45="P",D45="Q"),INT(E45)&amp;" "&amp;Sigle_Monnaie,IF(D45="A",,E45/100))</f>
        <v>0</v>
      </c>
      <c r="S45" s="703">
        <f t="shared" si="17"/>
        <v>0</v>
      </c>
      <c r="T45" s="701"/>
      <c r="U45" s="705">
        <f>AI45</f>
        <v>0</v>
      </c>
      <c r="V45" s="706" t="str">
        <f t="shared" si="19"/>
        <v>TVA 20. . . . . . . . . . . . . . . . . . . . . . . . . . . . . . . . . . . . . . . . . . . . . . . . . . . . . . . . . . . . . . . . . . . .</v>
      </c>
      <c r="W45" s="509"/>
      <c r="X45" s="403"/>
      <c r="Y45" s="403"/>
      <c r="Z45" s="509"/>
      <c r="AA45" s="509"/>
      <c r="AB45" s="707"/>
      <c r="AC45" s="708">
        <f>IF($Q$20&lt;&gt;0,S45/$Q$20*1000,0)</f>
        <v>0</v>
      </c>
      <c r="AD45" s="709">
        <f>IF(SURF_HABIT&lt;&gt;0,AK45/SURF_HABIT*1000,0)</f>
        <v>0</v>
      </c>
      <c r="AE45" s="710">
        <f>IF(NB_LOGT&lt;&gt;0,AK45/NB_LOGT,0)</f>
        <v>0</v>
      </c>
      <c r="AF45" s="710">
        <f>IF($AE$21&lt;&gt;0,AL45/$AE$21,0)</f>
        <v>0</v>
      </c>
      <c r="AG45" s="711">
        <f>IF(SURF_UTIL&lt;&gt;0,(AM45/SURF_UTIL)*1000,0)</f>
        <v>0</v>
      </c>
      <c r="AH45" s="434">
        <f>1+(G45/100)</f>
        <v>1.2</v>
      </c>
      <c r="AI45" s="443">
        <f>ROUND(S45*AH45,0)</f>
        <v>0</v>
      </c>
      <c r="AK45" s="443">
        <f t="shared" si="26"/>
        <v>0</v>
      </c>
      <c r="AL45" s="443">
        <f t="shared" si="27"/>
        <v>0</v>
      </c>
      <c r="AM45" s="443">
        <f t="shared" si="28"/>
        <v>0</v>
      </c>
      <c r="AN45" s="712">
        <f>AK45*AH45</f>
        <v>0</v>
      </c>
      <c r="AO45" s="712">
        <f>AL45*$AH45</f>
        <v>0</v>
      </c>
      <c r="AP45" s="712">
        <f>AM45*$AH45</f>
        <v>0</v>
      </c>
      <c r="AQ45" s="436"/>
      <c r="AR45" s="716" t="s">
        <v>246</v>
      </c>
      <c r="AS45" s="717">
        <v>0</v>
      </c>
      <c r="AT45" s="434">
        <v>19.600000000000001</v>
      </c>
      <c r="AU45" s="434" t="str">
        <f>IF(RELTHT=0,"SL","LL")</f>
        <v>SL</v>
      </c>
      <c r="AV45" s="434" t="s">
        <v>277</v>
      </c>
      <c r="AW45" s="483">
        <f>IF(A45="*",1,0)</f>
        <v>0</v>
      </c>
      <c r="AX45" s="719" t="str">
        <f t="shared" si="32"/>
        <v/>
      </c>
      <c r="AY45" s="434" t="str">
        <f t="shared" si="33"/>
        <v/>
      </c>
      <c r="AZ45" s="434" t="str">
        <f t="shared" si="34"/>
        <v>TVA 20</v>
      </c>
      <c r="BA45" s="715">
        <f>J45</f>
        <v>0</v>
      </c>
    </row>
    <row r="46" spans="1:53" ht="13.8" thickBot="1">
      <c r="A46" s="696">
        <f t="shared" si="13"/>
        <v>0</v>
      </c>
      <c r="B46" s="844"/>
      <c r="C46" s="845"/>
      <c r="D46" s="697" t="str">
        <f t="shared" si="15"/>
        <v>A</v>
      </c>
      <c r="E46" s="698">
        <f>Z24*0.85</f>
        <v>0</v>
      </c>
      <c r="F46" s="894"/>
      <c r="G46" s="896">
        <v>20</v>
      </c>
      <c r="H46" s="434" t="s">
        <v>385</v>
      </c>
      <c r="I46" s="436"/>
      <c r="J46" s="884"/>
      <c r="K46" s="885"/>
      <c r="L46" s="885"/>
      <c r="M46" s="886"/>
      <c r="N46" s="699"/>
      <c r="O46" s="700" t="str">
        <f>"   "&amp;B46</f>
        <v xml:space="preserve">   </v>
      </c>
      <c r="P46" s="638"/>
      <c r="Q46" s="701"/>
      <c r="R46" s="702">
        <f t="shared" si="16"/>
        <v>0</v>
      </c>
      <c r="S46" s="703">
        <f t="shared" si="17"/>
        <v>0</v>
      </c>
      <c r="T46" s="701"/>
      <c r="U46" s="705">
        <f t="shared" si="18"/>
        <v>0</v>
      </c>
      <c r="V46" s="706" t="str">
        <f t="shared" si="19"/>
        <v>TVA 20. . . . . . . . . . . . . . . . . . . . . . . . . . . . . . . . . . . . . . . . . . . . . . . . . . . . . . . . . . . . . . . . . . . .</v>
      </c>
      <c r="W46" s="509"/>
      <c r="X46" s="403"/>
      <c r="Y46" s="403"/>
      <c r="Z46" s="509"/>
      <c r="AA46" s="509"/>
      <c r="AB46" s="707"/>
      <c r="AC46" s="708">
        <f t="shared" si="20"/>
        <v>0</v>
      </c>
      <c r="AD46" s="709">
        <f t="shared" si="21"/>
        <v>0</v>
      </c>
      <c r="AE46" s="710">
        <f t="shared" si="22"/>
        <v>0</v>
      </c>
      <c r="AF46" s="710">
        <f t="shared" si="23"/>
        <v>0</v>
      </c>
      <c r="AG46" s="711">
        <f t="shared" si="24"/>
        <v>0</v>
      </c>
      <c r="AH46" s="434">
        <f t="shared" si="25"/>
        <v>1.2</v>
      </c>
      <c r="AI46" s="443">
        <f>ROUND(PL1_2HT*AH46,0)</f>
        <v>0</v>
      </c>
      <c r="AK46" s="443">
        <f t="shared" si="26"/>
        <v>0</v>
      </c>
      <c r="AL46" s="443">
        <f t="shared" si="27"/>
        <v>0</v>
      </c>
      <c r="AM46" s="443">
        <f t="shared" si="28"/>
        <v>0</v>
      </c>
      <c r="AN46" s="712">
        <f t="shared" si="29"/>
        <v>0</v>
      </c>
      <c r="AO46" s="712">
        <f t="shared" si="30"/>
        <v>0</v>
      </c>
      <c r="AP46" s="712">
        <f t="shared" si="30"/>
        <v>0</v>
      </c>
      <c r="AQ46" s="436"/>
      <c r="AR46" s="453" t="s">
        <v>246</v>
      </c>
      <c r="AS46" s="721"/>
      <c r="AT46" s="434">
        <v>19.600000000000001</v>
      </c>
      <c r="AU46" s="434" t="str">
        <f>IF(PL1_2HT=0,"SL","LL")</f>
        <v>SL</v>
      </c>
      <c r="AV46" s="434" t="s">
        <v>277</v>
      </c>
      <c r="AW46" s="483">
        <f t="shared" si="31"/>
        <v>0</v>
      </c>
      <c r="AX46" s="719" t="str">
        <f t="shared" si="32"/>
        <v/>
      </c>
      <c r="AZ46" s="434" t="str">
        <f t="shared" si="34"/>
        <v>TVA 20</v>
      </c>
      <c r="BA46" s="715">
        <f t="shared" si="12"/>
        <v>0</v>
      </c>
    </row>
    <row r="47" spans="1:53" s="532" customFormat="1" ht="14.1" customHeight="1" thickBot="1">
      <c r="A47" s="722"/>
      <c r="B47" s="723"/>
      <c r="C47" s="444"/>
      <c r="D47" s="444"/>
      <c r="E47" s="444"/>
      <c r="F47" s="444"/>
      <c r="G47" s="724"/>
      <c r="H47" s="723"/>
      <c r="I47" s="436"/>
      <c r="J47" s="444"/>
      <c r="K47" s="436"/>
      <c r="L47" s="436"/>
      <c r="M47" s="436"/>
      <c r="N47" s="699"/>
      <c r="O47" s="725">
        <v>1</v>
      </c>
      <c r="P47" s="726" t="s">
        <v>386</v>
      </c>
      <c r="Q47" s="726"/>
      <c r="R47" s="727"/>
      <c r="S47" s="728">
        <f>SUM(TERRHT:PL1_2HT)</f>
        <v>442</v>
      </c>
      <c r="T47" s="729">
        <f>IF(PR_REV.TOT_HT&lt;&gt;0,TOT1HT/PR_REV.TOT_HT,0)</f>
        <v>0.12294853963838664</v>
      </c>
      <c r="U47" s="416">
        <f t="shared" si="18"/>
        <v>529</v>
      </c>
      <c r="V47" s="706" t="str">
        <f t="shared" si="19"/>
        <v>. . . . . . . . . . . . . . . . . . . . . . . . . . . . . . . . . . . . . . . . . . . . . . . . . . . . . . . . . . . . . . . . . . . .</v>
      </c>
      <c r="W47" s="509"/>
      <c r="X47" s="403"/>
      <c r="Y47" s="403"/>
      <c r="Z47" s="509"/>
      <c r="AA47" s="509"/>
      <c r="AB47" s="707"/>
      <c r="AC47" s="730">
        <f>IF($Q$20&lt;&gt;0,TOT1HT/$Q$20*1000,0)</f>
        <v>283.33333333333331</v>
      </c>
      <c r="AD47" s="731">
        <f t="shared" si="21"/>
        <v>299.60820465545055</v>
      </c>
      <c r="AE47" s="732">
        <f t="shared" si="22"/>
        <v>20.09090909090909</v>
      </c>
      <c r="AF47" s="732">
        <f t="shared" si="23"/>
        <v>0</v>
      </c>
      <c r="AG47" s="733">
        <f t="shared" si="24"/>
        <v>0</v>
      </c>
      <c r="AH47" s="434"/>
      <c r="AI47" s="443">
        <f>SUM(AI38:AI46)</f>
        <v>529</v>
      </c>
      <c r="AJ47" s="444">
        <f>AI47</f>
        <v>529</v>
      </c>
      <c r="AK47" s="734">
        <f t="shared" ref="AK47:AP47" si="35">SUM(AK38:AK46)</f>
        <v>442</v>
      </c>
      <c r="AL47" s="734">
        <f t="shared" si="35"/>
        <v>0</v>
      </c>
      <c r="AM47" s="734">
        <f t="shared" si="35"/>
        <v>0</v>
      </c>
      <c r="AN47" s="734">
        <f t="shared" si="35"/>
        <v>528.79999999999995</v>
      </c>
      <c r="AO47" s="734">
        <f t="shared" si="35"/>
        <v>0</v>
      </c>
      <c r="AP47" s="734">
        <f t="shared" si="35"/>
        <v>0</v>
      </c>
      <c r="AQ47" s="436"/>
      <c r="AS47" s="735"/>
      <c r="AT47" s="434"/>
      <c r="AU47" s="434" t="s">
        <v>277</v>
      </c>
      <c r="AV47" s="434" t="s">
        <v>277</v>
      </c>
      <c r="AW47" s="483">
        <f t="shared" si="31"/>
        <v>0</v>
      </c>
      <c r="AX47" s="719"/>
      <c r="AY47" s="434"/>
      <c r="AZ47" s="434"/>
      <c r="BA47" s="715">
        <f t="shared" si="12"/>
        <v>0</v>
      </c>
    </row>
    <row r="48" spans="1:53" ht="12.9" customHeight="1">
      <c r="A48" s="696">
        <f t="shared" ref="A48:A53" si="36">IF(OR(ISBLANK(D48),MID(D48,1,1)=" "),IF(OR(ISBLANK(E48),E48=0),,"*"),IF(ISERR(SEARCH(MID(D48,1,1),H48,1)),"*",))</f>
        <v>0</v>
      </c>
      <c r="B48" s="434" t="str">
        <f>O48&amp;" "&amp;P48</f>
        <v>151 TLE+TDCAUE+TC</v>
      </c>
      <c r="C48" s="436"/>
      <c r="D48" s="697" t="str">
        <f t="shared" ref="D48:D53" si="37">AR48</f>
        <v>A</v>
      </c>
      <c r="E48" s="698">
        <v>30</v>
      </c>
      <c r="F48" s="894"/>
      <c r="G48" s="895">
        <f>AT48</f>
        <v>0</v>
      </c>
      <c r="H48" s="434" t="s">
        <v>387</v>
      </c>
      <c r="I48" s="436"/>
      <c r="J48" s="884"/>
      <c r="K48" s="885"/>
      <c r="L48" s="885"/>
      <c r="M48" s="886"/>
      <c r="N48" s="699"/>
      <c r="O48" s="700">
        <v>151</v>
      </c>
      <c r="P48" s="638" t="s">
        <v>388</v>
      </c>
      <c r="Q48" s="701"/>
      <c r="R48" s="702">
        <f t="shared" ref="R48:R53" si="38">IF(OR(D48="N",D48="P",D48="Q"),INT(E48)&amp;" "&amp;Sigle_Monnaie,IF(D48="A",,E48/100))</f>
        <v>0</v>
      </c>
      <c r="S48" s="703">
        <f t="shared" ref="S48:S53" si="39">IF(OR(ISBLANK(D48),MID(D48,1,1)=" "),,ROUND(IF(SEARCH(MID(D48,1,1),H48,1)&gt;0,IF(OR(D48="N",D48="P",D48="Q"),VLOOKUP(MID(D48,1,1),BASE,3)*E48/1000,VLOOKUP(MID(D48,1,1),BASE,3)*E48/100),),0))</f>
        <v>30</v>
      </c>
      <c r="T48" s="701"/>
      <c r="U48" s="705">
        <f t="shared" si="18"/>
        <v>30</v>
      </c>
      <c r="V48" s="706" t="str">
        <f t="shared" si="19"/>
        <v>. . . . . . . . . . . . . . . . . . . . . . . . . . . . . . . . . . . . . . . . . . . . . . . . . . . . . . . . . . . . . . . . . . . .</v>
      </c>
      <c r="W48" s="509"/>
      <c r="X48" s="403"/>
      <c r="Y48" s="403"/>
      <c r="Z48" s="509"/>
      <c r="AA48" s="509"/>
      <c r="AB48" s="707"/>
      <c r="AC48" s="708">
        <f t="shared" ref="AC48:AC53" si="40">IF($Q$20&lt;&gt;0,S48/$Q$20*1000,0)</f>
        <v>19.230769230769234</v>
      </c>
      <c r="AD48" s="709">
        <f t="shared" si="21"/>
        <v>20.335398506026056</v>
      </c>
      <c r="AE48" s="710">
        <f t="shared" si="22"/>
        <v>1.3636363636363635</v>
      </c>
      <c r="AF48" s="710">
        <f t="shared" si="23"/>
        <v>0</v>
      </c>
      <c r="AG48" s="736"/>
      <c r="AH48" s="434">
        <f t="shared" ref="AH48:AH53" si="41">1+(G48/100)</f>
        <v>1</v>
      </c>
      <c r="AI48" s="443">
        <f>ROUND(TLEHT*AH48,0)</f>
        <v>30</v>
      </c>
      <c r="AK48" s="443">
        <f t="shared" ref="AK48:AK53" si="42">IF(OR(ISBLANK(D48),MID(D48,1,1)=" "),,ROUND(IF(SEARCH(MID(D48,1,1),H48,1)&gt;0,VLOOKUP(MID(D48,1,1),BASE,4)*E48/100,),0))</f>
        <v>30</v>
      </c>
      <c r="AL48" s="443">
        <f t="shared" ref="AL48:AL53" si="43">IF(OR(ISBLANK(D48),MID(D48,1,1)=" "),,ROUND(IF(SEARCH(MID(D48,1,1),H48,1)&gt;0,VLOOKUP(MID(D48,1,1),BASE,5)*E48/100,),0))</f>
        <v>0</v>
      </c>
      <c r="AM48" s="443">
        <f t="shared" ref="AM48:AM53" si="44">IF(OR(ISBLANK(D48),MID(D48,1,1)=" "),,ROUND(IF(SEARCH(MID(D48,1,1),H48,1)&gt;0,VLOOKUP(MID(D48,1,1),BASE,6)*E48/100,),0))</f>
        <v>0</v>
      </c>
      <c r="AN48" s="712">
        <f>AK48*$AH48</f>
        <v>30</v>
      </c>
      <c r="AO48" s="712">
        <f>AL48*$AH48</f>
        <v>0</v>
      </c>
      <c r="AP48" s="712">
        <f>AM48*$AH48</f>
        <v>0</v>
      </c>
      <c r="AQ48" s="436"/>
      <c r="AR48" s="716" t="s">
        <v>246</v>
      </c>
      <c r="AS48" s="717">
        <v>0</v>
      </c>
      <c r="AT48" s="718">
        <v>0</v>
      </c>
      <c r="AU48" s="434" t="str">
        <f>IF(TLEHT=0,"SL","LL")</f>
        <v>LL</v>
      </c>
      <c r="AV48" s="434" t="s">
        <v>277</v>
      </c>
      <c r="AW48" s="483">
        <f t="shared" si="31"/>
        <v>0</v>
      </c>
      <c r="AX48" s="719" t="str">
        <f t="shared" ref="AX48:AX57" si="45">IF(D48&lt;&gt;AR48,"BM,","")</f>
        <v/>
      </c>
      <c r="AY48" s="434" t="str">
        <f>IF(AND(D48&lt;&gt;"A",E48&lt;&gt;AS48),"TM,","")</f>
        <v/>
      </c>
      <c r="AZ48" s="434" t="str">
        <f t="shared" ref="AZ48:AZ83" si="46">IF(G48&lt;&gt;AT48,IF(G48=0,"TVA 0,00","TVA "&amp;G48),"")</f>
        <v/>
      </c>
      <c r="BA48" s="715">
        <f t="shared" si="12"/>
        <v>0</v>
      </c>
    </row>
    <row r="49" spans="1:53" ht="12.9" customHeight="1">
      <c r="A49" s="696">
        <f t="shared" si="36"/>
        <v>0</v>
      </c>
      <c r="B49" s="434" t="str">
        <f>O49&amp;" "&amp;P49</f>
        <v>152 T.R.D.</v>
      </c>
      <c r="C49" s="436"/>
      <c r="D49" s="697" t="str">
        <f t="shared" si="37"/>
        <v>A</v>
      </c>
      <c r="E49" s="698">
        <v>59</v>
      </c>
      <c r="F49" s="894"/>
      <c r="G49" s="895">
        <f>AT49</f>
        <v>0</v>
      </c>
      <c r="H49" s="434" t="s">
        <v>378</v>
      </c>
      <c r="I49" s="436"/>
      <c r="J49" s="884"/>
      <c r="K49" s="885"/>
      <c r="L49" s="885"/>
      <c r="M49" s="886"/>
      <c r="N49" s="699"/>
      <c r="O49" s="700">
        <v>152</v>
      </c>
      <c r="P49" s="638" t="s">
        <v>389</v>
      </c>
      <c r="Q49" s="701"/>
      <c r="R49" s="702">
        <f t="shared" si="38"/>
        <v>0</v>
      </c>
      <c r="S49" s="703">
        <f t="shared" si="39"/>
        <v>59</v>
      </c>
      <c r="T49" s="701"/>
      <c r="U49" s="705">
        <f t="shared" si="18"/>
        <v>59</v>
      </c>
      <c r="V49" s="706" t="str">
        <f t="shared" si="19"/>
        <v>. . . . . . . . . . . . . . . . . . . . . . . . . . . . . . . . . . . . . . . . . . . . . . . . . . . . . . . . . . . . . . . . . . . .</v>
      </c>
      <c r="W49" s="509"/>
      <c r="X49" s="403"/>
      <c r="Y49" s="403"/>
      <c r="Z49" s="509"/>
      <c r="AA49" s="509"/>
      <c r="AB49" s="707"/>
      <c r="AC49" s="708">
        <f t="shared" si="40"/>
        <v>37.820512820512818</v>
      </c>
      <c r="AD49" s="709">
        <f t="shared" si="21"/>
        <v>39.992950395184579</v>
      </c>
      <c r="AE49" s="710">
        <f t="shared" si="22"/>
        <v>2.6818181818181817</v>
      </c>
      <c r="AF49" s="710">
        <f t="shared" si="23"/>
        <v>0</v>
      </c>
      <c r="AG49" s="736"/>
      <c r="AH49" s="434">
        <f t="shared" si="41"/>
        <v>1</v>
      </c>
      <c r="AI49" s="443">
        <f>ROUND(TRDHT*AH49,0)</f>
        <v>59</v>
      </c>
      <c r="AK49" s="443">
        <f t="shared" si="42"/>
        <v>59</v>
      </c>
      <c r="AL49" s="443">
        <f t="shared" si="43"/>
        <v>0</v>
      </c>
      <c r="AM49" s="443">
        <f t="shared" si="44"/>
        <v>0</v>
      </c>
      <c r="AN49" s="712">
        <f>AK49*AH49</f>
        <v>59</v>
      </c>
      <c r="AO49" s="712">
        <f t="shared" ref="AO49:AP53" si="47">AL49*$AH49</f>
        <v>0</v>
      </c>
      <c r="AP49" s="712">
        <f t="shared" si="47"/>
        <v>0</v>
      </c>
      <c r="AQ49" s="436"/>
      <c r="AR49" s="716" t="s">
        <v>246</v>
      </c>
      <c r="AS49" s="717">
        <v>0</v>
      </c>
      <c r="AT49" s="718">
        <v>0</v>
      </c>
      <c r="AU49" s="434" t="str">
        <f>IF(TRDHT=0,"SL","LL")</f>
        <v>LL</v>
      </c>
      <c r="AV49" s="434" t="s">
        <v>277</v>
      </c>
      <c r="AW49" s="483">
        <f t="shared" si="31"/>
        <v>0</v>
      </c>
      <c r="AX49" s="719" t="str">
        <f t="shared" si="45"/>
        <v/>
      </c>
      <c r="AY49" s="434" t="str">
        <f>IF(AND(D49&lt;&gt;"A",E49&lt;&gt;AS49),"TM,","")</f>
        <v/>
      </c>
      <c r="AZ49" s="434" t="str">
        <f t="shared" si="46"/>
        <v/>
      </c>
      <c r="BA49" s="715">
        <f t="shared" si="12"/>
        <v>0</v>
      </c>
    </row>
    <row r="50" spans="1:53" ht="12.9" customHeight="1">
      <c r="A50" s="696">
        <f t="shared" si="36"/>
        <v>0</v>
      </c>
      <c r="B50" s="434" t="str">
        <f>O50&amp;" "&amp;P50</f>
        <v>153 T.E.V.</v>
      </c>
      <c r="C50" s="436"/>
      <c r="D50" s="697" t="str">
        <f t="shared" si="37"/>
        <v>A</v>
      </c>
      <c r="E50" s="698">
        <f>AS50</f>
        <v>0</v>
      </c>
      <c r="F50" s="894"/>
      <c r="G50" s="895">
        <f>AT50</f>
        <v>0</v>
      </c>
      <c r="H50" s="434" t="s">
        <v>378</v>
      </c>
      <c r="I50" s="436"/>
      <c r="J50" s="884"/>
      <c r="K50" s="885"/>
      <c r="L50" s="885"/>
      <c r="M50" s="886"/>
      <c r="N50" s="699"/>
      <c r="O50" s="700">
        <v>153</v>
      </c>
      <c r="P50" s="638" t="s">
        <v>390</v>
      </c>
      <c r="Q50" s="701"/>
      <c r="R50" s="702">
        <f t="shared" si="38"/>
        <v>0</v>
      </c>
      <c r="S50" s="703">
        <f t="shared" si="39"/>
        <v>0</v>
      </c>
      <c r="T50" s="701"/>
      <c r="U50" s="705">
        <f t="shared" si="18"/>
        <v>0</v>
      </c>
      <c r="V50" s="706" t="str">
        <f t="shared" si="19"/>
        <v>. . . . . . . . . . . . . . . . . . . . . . . . . . . . . . . . . . . . . . . . . . . . . . . . . . . . . . . . . . . . . . . . . . . .</v>
      </c>
      <c r="W50" s="509"/>
      <c r="X50" s="403"/>
      <c r="Y50" s="403"/>
      <c r="Z50" s="509"/>
      <c r="AA50" s="509"/>
      <c r="AB50" s="707"/>
      <c r="AC50" s="708">
        <f t="shared" si="40"/>
        <v>0</v>
      </c>
      <c r="AD50" s="709">
        <f t="shared" si="21"/>
        <v>0</v>
      </c>
      <c r="AE50" s="710">
        <f t="shared" si="22"/>
        <v>0</v>
      </c>
      <c r="AF50" s="710">
        <f t="shared" si="23"/>
        <v>0</v>
      </c>
      <c r="AG50" s="736"/>
      <c r="AH50" s="434">
        <f t="shared" si="41"/>
        <v>1</v>
      </c>
      <c r="AI50" s="443">
        <f>ROUND(REATHT*AH50,0)</f>
        <v>0</v>
      </c>
      <c r="AK50" s="443">
        <f t="shared" si="42"/>
        <v>0</v>
      </c>
      <c r="AL50" s="443">
        <f t="shared" si="43"/>
        <v>0</v>
      </c>
      <c r="AM50" s="443">
        <f t="shared" si="44"/>
        <v>0</v>
      </c>
      <c r="AN50" s="712">
        <f>AK50*AH50</f>
        <v>0</v>
      </c>
      <c r="AO50" s="712">
        <f t="shared" si="47"/>
        <v>0</v>
      </c>
      <c r="AP50" s="712">
        <f t="shared" si="47"/>
        <v>0</v>
      </c>
      <c r="AQ50" s="436"/>
      <c r="AR50" s="716" t="s">
        <v>246</v>
      </c>
      <c r="AS50" s="717">
        <v>0</v>
      </c>
      <c r="AT50" s="718">
        <v>0</v>
      </c>
      <c r="AU50" s="434" t="str">
        <f>IF(REATHT=0,"SL","LL")</f>
        <v>SL</v>
      </c>
      <c r="AV50" s="434" t="s">
        <v>277</v>
      </c>
      <c r="AW50" s="483">
        <f t="shared" si="31"/>
        <v>0</v>
      </c>
      <c r="AX50" s="719" t="str">
        <f t="shared" si="45"/>
        <v/>
      </c>
      <c r="AY50" s="434" t="str">
        <f>IF(AND(D50&lt;&gt;"A",E50&lt;&gt;AS50),"TM,","")</f>
        <v/>
      </c>
      <c r="AZ50" s="434" t="str">
        <f t="shared" si="46"/>
        <v/>
      </c>
      <c r="BA50" s="715">
        <f t="shared" si="12"/>
        <v>0</v>
      </c>
    </row>
    <row r="51" spans="1:53" ht="12.9" customHeight="1">
      <c r="A51" s="696">
        <f t="shared" si="36"/>
        <v>0</v>
      </c>
      <c r="B51" s="434" t="str">
        <f>O51&amp;" "&amp;P51</f>
        <v>154 Redevanc. avec Tva</v>
      </c>
      <c r="C51" s="436"/>
      <c r="D51" s="697" t="str">
        <f t="shared" si="37"/>
        <v>A</v>
      </c>
      <c r="E51" s="698">
        <f>AS51</f>
        <v>0</v>
      </c>
      <c r="F51" s="894"/>
      <c r="G51" s="895">
        <v>20</v>
      </c>
      <c r="H51" s="434" t="s">
        <v>378</v>
      </c>
      <c r="I51" s="436"/>
      <c r="J51" s="884"/>
      <c r="K51" s="885"/>
      <c r="L51" s="885"/>
      <c r="M51" s="886"/>
      <c r="N51" s="699"/>
      <c r="O51" s="700">
        <v>154</v>
      </c>
      <c r="P51" s="638" t="s">
        <v>391</v>
      </c>
      <c r="Q51" s="701"/>
      <c r="R51" s="702">
        <f t="shared" si="38"/>
        <v>0</v>
      </c>
      <c r="S51" s="703">
        <f t="shared" si="39"/>
        <v>0</v>
      </c>
      <c r="T51" s="701"/>
      <c r="U51" s="705">
        <f t="shared" si="18"/>
        <v>0</v>
      </c>
      <c r="V51" s="706" t="str">
        <f t="shared" si="19"/>
        <v>TVA 20. . . . . . . . . . . . . . . . . . . . . . . . . . . . . . . . . . . . . . . . . . . . . . . . . . . . . . . . . . . . . . . . . . . .</v>
      </c>
      <c r="W51" s="509"/>
      <c r="X51" s="403"/>
      <c r="Y51" s="403"/>
      <c r="Z51" s="509"/>
      <c r="AA51" s="509"/>
      <c r="AB51" s="707"/>
      <c r="AC51" s="708">
        <f t="shared" si="40"/>
        <v>0</v>
      </c>
      <c r="AD51" s="709">
        <f t="shared" si="21"/>
        <v>0</v>
      </c>
      <c r="AE51" s="710">
        <f t="shared" si="22"/>
        <v>0</v>
      </c>
      <c r="AF51" s="710">
        <f t="shared" si="23"/>
        <v>0</v>
      </c>
      <c r="AG51" s="736"/>
      <c r="AH51" s="434">
        <f t="shared" si="41"/>
        <v>1.2</v>
      </c>
      <c r="AI51" s="443">
        <f>ROUND(RESTHT*AH51,0)</f>
        <v>0</v>
      </c>
      <c r="AK51" s="443">
        <f t="shared" si="42"/>
        <v>0</v>
      </c>
      <c r="AL51" s="443">
        <f t="shared" si="43"/>
        <v>0</v>
      </c>
      <c r="AM51" s="443">
        <f t="shared" si="44"/>
        <v>0</v>
      </c>
      <c r="AN51" s="712">
        <f>AK51*AH51</f>
        <v>0</v>
      </c>
      <c r="AO51" s="712">
        <f t="shared" si="47"/>
        <v>0</v>
      </c>
      <c r="AP51" s="712">
        <f t="shared" si="47"/>
        <v>0</v>
      </c>
      <c r="AQ51" s="436"/>
      <c r="AR51" s="716" t="s">
        <v>246</v>
      </c>
      <c r="AS51" s="717">
        <v>0</v>
      </c>
      <c r="AT51" s="434">
        <v>19.600000000000001</v>
      </c>
      <c r="AU51" s="434" t="str">
        <f>IF(RESTHT=0,"SL","LL")</f>
        <v>SL</v>
      </c>
      <c r="AV51" s="434" t="s">
        <v>277</v>
      </c>
      <c r="AW51" s="483">
        <f t="shared" si="31"/>
        <v>0</v>
      </c>
      <c r="AX51" s="719" t="str">
        <f t="shared" si="45"/>
        <v/>
      </c>
      <c r="AY51" s="434" t="str">
        <f>IF(AND(D51&lt;&gt;"A",E51&lt;&gt;AS51),"TM,","")</f>
        <v/>
      </c>
      <c r="AZ51" s="434" t="str">
        <f t="shared" si="46"/>
        <v>TVA 20</v>
      </c>
      <c r="BA51" s="715">
        <f t="shared" si="12"/>
        <v>0</v>
      </c>
    </row>
    <row r="52" spans="1:53" ht="12.9" customHeight="1">
      <c r="A52" s="696">
        <f t="shared" si="36"/>
        <v>0</v>
      </c>
      <c r="B52" s="434" t="str">
        <f>O52&amp;" "&amp;P52</f>
        <v>157 CVAE + Organic</v>
      </c>
      <c r="C52" s="436"/>
      <c r="D52" s="697" t="str">
        <f t="shared" si="37"/>
        <v>H</v>
      </c>
      <c r="E52" s="698">
        <f>AS52</f>
        <v>0.12</v>
      </c>
      <c r="F52" s="894"/>
      <c r="G52" s="895">
        <f>AT52</f>
        <v>0</v>
      </c>
      <c r="H52" s="434" t="s">
        <v>412</v>
      </c>
      <c r="I52" s="436"/>
      <c r="J52" s="884" t="s">
        <v>527</v>
      </c>
      <c r="K52" s="885"/>
      <c r="L52" s="885"/>
      <c r="M52" s="886"/>
      <c r="N52" s="699"/>
      <c r="O52" s="700">
        <v>157</v>
      </c>
      <c r="P52" s="638" t="s">
        <v>525</v>
      </c>
      <c r="Q52" s="701"/>
      <c r="R52" s="702">
        <f t="shared" si="38"/>
        <v>1.1999999999999999E-3</v>
      </c>
      <c r="S52" s="703">
        <f t="shared" si="39"/>
        <v>5</v>
      </c>
      <c r="T52" s="701"/>
      <c r="U52" s="705">
        <f t="shared" si="18"/>
        <v>5</v>
      </c>
      <c r="V52" s="706" t="str">
        <f t="shared" si="19"/>
        <v>PV TTC - 0,28% du CA TTC si SNC . . . . . . . . . . . . . . . . . . . . . . . . . . . . . . . . . . . . . . . . . . . . . . . . . . . . . . . . . . . . . . . . . . . .</v>
      </c>
      <c r="W52" s="509"/>
      <c r="X52" s="403"/>
      <c r="Y52" s="403"/>
      <c r="Z52" s="509"/>
      <c r="AA52" s="509"/>
      <c r="AB52" s="707"/>
      <c r="AC52" s="708">
        <f t="shared" si="40"/>
        <v>3.2051282051282048</v>
      </c>
      <c r="AD52" s="709">
        <f t="shared" si="21"/>
        <v>3.3892330843376759</v>
      </c>
      <c r="AE52" s="710">
        <f t="shared" si="22"/>
        <v>0.22727272727272727</v>
      </c>
      <c r="AF52" s="710">
        <f t="shared" si="23"/>
        <v>0</v>
      </c>
      <c r="AG52" s="736"/>
      <c r="AH52" s="434">
        <f t="shared" si="41"/>
        <v>1</v>
      </c>
      <c r="AI52" s="443">
        <f>ROUND(TADIHT*AH52,0)</f>
        <v>5</v>
      </c>
      <c r="AK52" s="443">
        <f t="shared" si="42"/>
        <v>5</v>
      </c>
      <c r="AL52" s="443">
        <f t="shared" si="43"/>
        <v>0</v>
      </c>
      <c r="AM52" s="443">
        <f t="shared" si="44"/>
        <v>0</v>
      </c>
      <c r="AN52" s="712">
        <f>AK52*AH52</f>
        <v>5</v>
      </c>
      <c r="AO52" s="712">
        <f t="shared" si="47"/>
        <v>0</v>
      </c>
      <c r="AP52" s="712">
        <f t="shared" si="47"/>
        <v>0</v>
      </c>
      <c r="AQ52" s="436"/>
      <c r="AR52" s="716" t="s">
        <v>290</v>
      </c>
      <c r="AS52" s="717">
        <v>0.12</v>
      </c>
      <c r="AT52" s="718">
        <v>0</v>
      </c>
      <c r="AU52" s="434" t="str">
        <f>IF(TADIHT=0,"SL","LL")</f>
        <v>LL</v>
      </c>
      <c r="AV52" s="434" t="s">
        <v>277</v>
      </c>
      <c r="AW52" s="483">
        <f t="shared" si="31"/>
        <v>0</v>
      </c>
      <c r="AX52" s="719" t="str">
        <f t="shared" si="45"/>
        <v/>
      </c>
      <c r="AY52" s="434" t="str">
        <f>IF(AND(D52&lt;&gt;"A",E52&lt;&gt;AS52),"TM,","")</f>
        <v/>
      </c>
      <c r="AZ52" s="434" t="str">
        <f t="shared" si="46"/>
        <v/>
      </c>
      <c r="BA52" s="715" t="str">
        <f t="shared" si="12"/>
        <v>PV TTC - 0,28% du CA TTC si SNC</v>
      </c>
    </row>
    <row r="53" spans="1:53" ht="13.8" thickBot="1">
      <c r="A53" s="696">
        <f t="shared" si="36"/>
        <v>0</v>
      </c>
      <c r="B53" s="846" t="s">
        <v>169</v>
      </c>
      <c r="C53" s="845"/>
      <c r="D53" s="697" t="str">
        <f t="shared" si="37"/>
        <v>A</v>
      </c>
      <c r="E53" s="698"/>
      <c r="F53" s="894"/>
      <c r="G53" s="895">
        <v>20</v>
      </c>
      <c r="H53" s="434" t="s">
        <v>385</v>
      </c>
      <c r="I53" s="436"/>
      <c r="J53" s="884"/>
      <c r="K53" s="885"/>
      <c r="L53" s="885"/>
      <c r="M53" s="886"/>
      <c r="N53" s="699"/>
      <c r="O53" s="700" t="str">
        <f>"   "&amp;B53</f>
        <v xml:space="preserve">    </v>
      </c>
      <c r="P53" s="638"/>
      <c r="Q53" s="701"/>
      <c r="R53" s="702">
        <f t="shared" si="38"/>
        <v>0</v>
      </c>
      <c r="S53" s="703">
        <f t="shared" si="39"/>
        <v>0</v>
      </c>
      <c r="T53" s="701"/>
      <c r="U53" s="705">
        <f t="shared" si="18"/>
        <v>0</v>
      </c>
      <c r="V53" s="706" t="str">
        <f t="shared" si="19"/>
        <v>TVA 20. . . . . . . . . . . . . . . . . . . . . . . . . . . . . . . . . . . . . . . . . . . . . . . . . . . . . . . . . . . . . . . . . . . .</v>
      </c>
      <c r="W53" s="509"/>
      <c r="X53" s="403"/>
      <c r="Y53" s="403"/>
      <c r="Z53" s="509"/>
      <c r="AA53" s="509"/>
      <c r="AB53" s="707"/>
      <c r="AC53" s="708">
        <f t="shared" si="40"/>
        <v>0</v>
      </c>
      <c r="AD53" s="709">
        <f t="shared" si="21"/>
        <v>0</v>
      </c>
      <c r="AE53" s="710">
        <f t="shared" si="22"/>
        <v>0</v>
      </c>
      <c r="AF53" s="710">
        <f t="shared" si="23"/>
        <v>0</v>
      </c>
      <c r="AG53" s="736"/>
      <c r="AH53" s="434">
        <f t="shared" si="41"/>
        <v>1.2</v>
      </c>
      <c r="AI53" s="443">
        <f>ROUND(PL2_2HT*AH53,0)</f>
        <v>0</v>
      </c>
      <c r="AK53" s="443">
        <f t="shared" si="42"/>
        <v>0</v>
      </c>
      <c r="AL53" s="443">
        <f t="shared" si="43"/>
        <v>0</v>
      </c>
      <c r="AM53" s="443">
        <f t="shared" si="44"/>
        <v>0</v>
      </c>
      <c r="AN53" s="712">
        <f>AK53*AH53</f>
        <v>0</v>
      </c>
      <c r="AO53" s="712">
        <f t="shared" si="47"/>
        <v>0</v>
      </c>
      <c r="AP53" s="712">
        <f t="shared" si="47"/>
        <v>0</v>
      </c>
      <c r="AQ53" s="436"/>
      <c r="AR53" s="453" t="s">
        <v>246</v>
      </c>
      <c r="AS53" s="717">
        <v>0</v>
      </c>
      <c r="AT53" s="434">
        <v>19.600000000000001</v>
      </c>
      <c r="AU53" s="434" t="str">
        <f>IF(PL2_2HT=0,"SL","LL")</f>
        <v>SL</v>
      </c>
      <c r="AV53" s="434" t="s">
        <v>277</v>
      </c>
      <c r="AW53" s="483">
        <f t="shared" si="31"/>
        <v>0</v>
      </c>
      <c r="AX53" s="719" t="str">
        <f t="shared" si="45"/>
        <v/>
      </c>
      <c r="AZ53" s="434" t="str">
        <f t="shared" si="46"/>
        <v>TVA 20</v>
      </c>
      <c r="BA53" s="715">
        <f t="shared" si="12"/>
        <v>0</v>
      </c>
    </row>
    <row r="54" spans="1:53" s="532" customFormat="1" ht="14.1" customHeight="1" thickBot="1">
      <c r="A54" s="722"/>
      <c r="B54" s="723"/>
      <c r="C54" s="444"/>
      <c r="D54" s="444"/>
      <c r="E54" s="444"/>
      <c r="F54" s="444"/>
      <c r="G54" s="724"/>
      <c r="H54" s="723"/>
      <c r="I54" s="436"/>
      <c r="J54" s="444"/>
      <c r="K54" s="436"/>
      <c r="L54" s="436"/>
      <c r="M54" s="436"/>
      <c r="N54" s="699"/>
      <c r="O54" s="737">
        <v>2</v>
      </c>
      <c r="P54" s="726" t="s">
        <v>17</v>
      </c>
      <c r="Q54" s="726"/>
      <c r="R54" s="727"/>
      <c r="S54" s="728">
        <f>SUM(TLEHT:PL2_2HT)</f>
        <v>94</v>
      </c>
      <c r="T54" s="729">
        <f>IF(PR_REV.TOT_HT&lt;&gt;0,TOT2HT/PR_REV.TOT_HT,0)</f>
        <v>2.6147426981919332E-2</v>
      </c>
      <c r="U54" s="416">
        <f t="shared" si="18"/>
        <v>94</v>
      </c>
      <c r="V54" s="706" t="str">
        <f t="shared" si="19"/>
        <v>. . . . . . . . . . . . . . . . . . . . . . . . . . . . . . . . . . . . . . . . . . . . . . . . . . . . . . . . . . . . . . . . . . . .</v>
      </c>
      <c r="W54" s="509"/>
      <c r="X54" s="403"/>
      <c r="Y54" s="403"/>
      <c r="Z54" s="509"/>
      <c r="AA54" s="509"/>
      <c r="AB54" s="707"/>
      <c r="AC54" s="730">
        <f>IF($Q$20&lt;&gt;0,TOT2HT/$Q$20*1000,0)</f>
        <v>60.256410256410255</v>
      </c>
      <c r="AD54" s="731">
        <f t="shared" si="21"/>
        <v>63.717581985548307</v>
      </c>
      <c r="AE54" s="732">
        <f t="shared" si="22"/>
        <v>4.2727272727272725</v>
      </c>
      <c r="AF54" s="732">
        <f t="shared" si="23"/>
        <v>0</v>
      </c>
      <c r="AG54" s="733">
        <f>IF(SURF_UTIL&lt;&gt;0,(AM54/SURF_UTIL)*1000,0)</f>
        <v>0</v>
      </c>
      <c r="AH54" s="434"/>
      <c r="AI54" s="443">
        <f>SUM(AI48:AI53)</f>
        <v>94</v>
      </c>
      <c r="AJ54" s="444">
        <f>AI54+AJ47</f>
        <v>623</v>
      </c>
      <c r="AK54" s="712">
        <f t="shared" ref="AK54:AP54" si="48">SUM(AK48:AK53)</f>
        <v>94</v>
      </c>
      <c r="AL54" s="712">
        <f t="shared" si="48"/>
        <v>0</v>
      </c>
      <c r="AM54" s="734">
        <f t="shared" si="48"/>
        <v>0</v>
      </c>
      <c r="AN54" s="712">
        <f t="shared" si="48"/>
        <v>94</v>
      </c>
      <c r="AO54" s="712">
        <f t="shared" si="48"/>
        <v>0</v>
      </c>
      <c r="AP54" s="712">
        <f t="shared" si="48"/>
        <v>0</v>
      </c>
      <c r="AQ54" s="436"/>
      <c r="AS54" s="735"/>
      <c r="AT54" s="434"/>
      <c r="AU54" s="434" t="s">
        <v>277</v>
      </c>
      <c r="AV54" s="434" t="s">
        <v>277</v>
      </c>
      <c r="AW54" s="483">
        <f t="shared" si="31"/>
        <v>0</v>
      </c>
      <c r="AX54" s="719" t="str">
        <f t="shared" si="45"/>
        <v/>
      </c>
      <c r="AY54" s="434" t="str">
        <f t="shared" ref="AY54:AY62" si="49">IF(AND(D54&lt;&gt;"A",E54&lt;&gt;AS54),"TM,","")</f>
        <v/>
      </c>
      <c r="AZ54" s="434" t="str">
        <f t="shared" si="46"/>
        <v/>
      </c>
      <c r="BA54" s="715">
        <f t="shared" si="12"/>
        <v>0</v>
      </c>
    </row>
    <row r="55" spans="1:53" s="532" customFormat="1" ht="14.1" customHeight="1" thickBot="1">
      <c r="A55" s="722"/>
      <c r="B55" s="723"/>
      <c r="C55" s="444"/>
      <c r="D55" s="444"/>
      <c r="E55" s="444"/>
      <c r="F55" s="444"/>
      <c r="G55" s="724"/>
      <c r="H55" s="723"/>
      <c r="I55" s="436"/>
      <c r="J55" s="444"/>
      <c r="K55" s="436"/>
      <c r="L55" s="436"/>
      <c r="M55" s="436"/>
      <c r="N55" s="699"/>
      <c r="O55" s="737" t="s">
        <v>169</v>
      </c>
      <c r="P55" s="726" t="s">
        <v>393</v>
      </c>
      <c r="Q55" s="726"/>
      <c r="R55" s="727"/>
      <c r="S55" s="728">
        <f>TOT2HT+TOT1HT</f>
        <v>536</v>
      </c>
      <c r="T55" s="729">
        <f>IF(PR_REV.TOT_HT&lt;&gt;0,TOT1_2HT/PR_REV.TOT_HT,0)</f>
        <v>0.14909596662030597</v>
      </c>
      <c r="U55" s="416">
        <f>U47+U54</f>
        <v>623</v>
      </c>
      <c r="V55" s="706" t="str">
        <f t="shared" si="19"/>
        <v>. . . . . . . . . . . . . . . . . . . . . . . . . . . . . . . . . . . . . . . . . . . . . . . . . . . . . . . . . . . . . . . . . . . .</v>
      </c>
      <c r="W55" s="509"/>
      <c r="X55" s="403"/>
      <c r="Y55" s="403"/>
      <c r="Z55" s="509"/>
      <c r="AA55" s="509"/>
      <c r="AB55" s="707"/>
      <c r="AC55" s="730">
        <f>IF($Q$20&lt;&gt;0,TOT1_2HT/$Q$20*1000,0)</f>
        <v>343.58974358974359</v>
      </c>
      <c r="AD55" s="731">
        <f t="shared" si="21"/>
        <v>363.3257866409989</v>
      </c>
      <c r="AE55" s="732">
        <f t="shared" si="22"/>
        <v>24.363636363636363</v>
      </c>
      <c r="AF55" s="732">
        <f t="shared" si="23"/>
        <v>0</v>
      </c>
      <c r="AG55" s="733">
        <f>IF(SURF_UTIL&lt;&gt;0,(AM55/SURF_UTIL)*1000,0)</f>
        <v>0</v>
      </c>
      <c r="AH55" s="434"/>
      <c r="AI55" s="443"/>
      <c r="AJ55" s="444"/>
      <c r="AK55" s="734">
        <f>AK54+AK47</f>
        <v>536</v>
      </c>
      <c r="AL55" s="734">
        <f>AL54+AL47</f>
        <v>0</v>
      </c>
      <c r="AM55" s="734">
        <f>AM47+AM54</f>
        <v>0</v>
      </c>
      <c r="AN55" s="734">
        <f>AN47+AN54</f>
        <v>622.79999999999995</v>
      </c>
      <c r="AO55" s="734">
        <f>AO47+AO54</f>
        <v>0</v>
      </c>
      <c r="AP55" s="734">
        <f>AP54+AP47</f>
        <v>0</v>
      </c>
      <c r="AQ55" s="436"/>
      <c r="AS55" s="735"/>
      <c r="AT55" s="434"/>
      <c r="AU55" s="434" t="s">
        <v>277</v>
      </c>
      <c r="AV55" s="434" t="s">
        <v>277</v>
      </c>
      <c r="AW55" s="483">
        <f t="shared" si="31"/>
        <v>0</v>
      </c>
      <c r="AX55" s="719" t="str">
        <f t="shared" si="45"/>
        <v/>
      </c>
      <c r="AY55" s="434" t="str">
        <f t="shared" si="49"/>
        <v/>
      </c>
      <c r="AZ55" s="434" t="str">
        <f t="shared" si="46"/>
        <v/>
      </c>
      <c r="BA55" s="715">
        <f t="shared" si="12"/>
        <v>0</v>
      </c>
    </row>
    <row r="56" spans="1:53" ht="12.9" customHeight="1">
      <c r="A56" s="696">
        <f>IF(OR(ISBLANK(D56),MID(D56,1,1)=" "),IF(OR(ISBLANK(E56),E56=0),,"*"),IF(ISERR(SEARCH(MID(D56,1,1),H56,1)),"*",))</f>
        <v>0</v>
      </c>
      <c r="B56" s="434" t="str">
        <f>O56&amp;" "&amp;P56</f>
        <v>288 VRD interne</v>
      </c>
      <c r="C56" s="436"/>
      <c r="D56" s="697" t="str">
        <f>AR56</f>
        <v>A</v>
      </c>
      <c r="E56" s="698">
        <v>450</v>
      </c>
      <c r="F56" s="894"/>
      <c r="G56" s="895">
        <v>20</v>
      </c>
      <c r="H56" s="434" t="s">
        <v>378</v>
      </c>
      <c r="I56" s="436"/>
      <c r="J56" s="884"/>
      <c r="K56" s="885"/>
      <c r="L56" s="885"/>
      <c r="M56" s="886"/>
      <c r="N56" s="699"/>
      <c r="O56" s="700">
        <v>288</v>
      </c>
      <c r="P56" s="638" t="s">
        <v>394</v>
      </c>
      <c r="Q56" s="638"/>
      <c r="R56" s="929">
        <f>IF(OR(D56="N",D56="P",D56="Q"),INT(E56)&amp;" "&amp;Sigle_Monnaie,IF(D56="A",,E56/100))</f>
        <v>0</v>
      </c>
      <c r="S56" s="703">
        <f>IF(OR(ISBLANK(D56),MID(D56,1,1)=" "),,ROUND(IF(SEARCH(MID(D56,1,1),H56,1)&gt;0,IF(OR(D56="N",D56="P",D56="Q"),VLOOKUP(MID(D56,1,1),BASE,3)*E56/1000,VLOOKUP(MID(D56,1,1),BASE,3)*E56/100),),0))</f>
        <v>450</v>
      </c>
      <c r="T56" s="701"/>
      <c r="U56" s="705">
        <f t="shared" ref="U56:U68" si="50">AI56</f>
        <v>540</v>
      </c>
      <c r="V56" s="706" t="str">
        <f t="shared" si="19"/>
        <v>TVA 20. . . . . . . . . . . . . . . . . . . . . . . . . . . . . . . . . . . . . . . . . . . . . . . . . . . . . . . . . . . . . . . . . . . .</v>
      </c>
      <c r="W56" s="509"/>
      <c r="X56" s="403"/>
      <c r="Y56" s="403"/>
      <c r="Z56" s="509"/>
      <c r="AA56" s="509"/>
      <c r="AB56" s="707"/>
      <c r="AC56" s="708" t="s">
        <v>169</v>
      </c>
      <c r="AD56" s="709" t="s">
        <v>169</v>
      </c>
      <c r="AE56" s="710"/>
      <c r="AF56" s="710"/>
      <c r="AG56" s="736"/>
      <c r="AH56" s="434">
        <f>1+(G56/100)</f>
        <v>1.2</v>
      </c>
      <c r="AI56" s="443">
        <f>ROUND(VRDIHT*AH56,0)</f>
        <v>540</v>
      </c>
      <c r="AK56" s="443">
        <f>IF(OR(ISBLANK(D56),MID(D56,1,1)=" "),,ROUND(IF(SEARCH(MID(D56,1,1),H56,1)&gt;0,VLOOKUP(MID(D56,1,1),BASE,4)*E56/100,),0))</f>
        <v>450</v>
      </c>
      <c r="AL56" s="443">
        <f>IF(OR(ISBLANK(D56),MID(D56,1,1)=" "),,ROUND(IF(SEARCH(MID(D56,1,1),H56,1)&gt;0,VLOOKUP(MID(D56,1,1),BASE,5)*E56/100,),0))</f>
        <v>0</v>
      </c>
      <c r="AM56" s="443">
        <f>IF(OR(ISBLANK(D56),MID(D56,1,1)=" "),,ROUND(IF(SEARCH(MID(D56,1,1),H56,1)&gt;0,VLOOKUP(MID(D56,1,1),BASE,6)*E56/100,),0))</f>
        <v>0</v>
      </c>
      <c r="AN56" s="712">
        <f>AK56*AH56</f>
        <v>540</v>
      </c>
      <c r="AO56" s="712">
        <f t="shared" ref="AO56:AP58" si="51">AL56*$AH56</f>
        <v>0</v>
      </c>
      <c r="AP56" s="712">
        <f t="shared" si="51"/>
        <v>0</v>
      </c>
      <c r="AQ56" s="436"/>
      <c r="AR56" s="716" t="s">
        <v>246</v>
      </c>
      <c r="AS56" s="717">
        <v>0</v>
      </c>
      <c r="AT56" s="434">
        <v>19.600000000000001</v>
      </c>
      <c r="AU56" s="434" t="str">
        <f>IF(VRDIHT=0,"SL","LL")</f>
        <v>LL</v>
      </c>
      <c r="AV56" s="434" t="s">
        <v>277</v>
      </c>
      <c r="AW56" s="483">
        <f t="shared" si="31"/>
        <v>0</v>
      </c>
      <c r="AX56" s="719" t="str">
        <f t="shared" si="45"/>
        <v/>
      </c>
      <c r="AY56" s="434" t="str">
        <f t="shared" si="49"/>
        <v/>
      </c>
      <c r="AZ56" s="434" t="str">
        <f t="shared" si="46"/>
        <v>TVA 20</v>
      </c>
      <c r="BA56" s="715">
        <f t="shared" si="12"/>
        <v>0</v>
      </c>
    </row>
    <row r="57" spans="1:53" ht="12.9" customHeight="1">
      <c r="A57" s="696">
        <f>IF(OR(ISBLANK(D57),MID(D57,1,1)=" "),IF(OR(ISBLANK(E57),E57=0),,"*"),IF(ISERR(SEARCH(MID(D57,1,1),H57,1)),"*",))</f>
        <v>0</v>
      </c>
      <c r="B57" s="434" t="str">
        <f>O57&amp;" "&amp;P57</f>
        <v>289 VRD externe</v>
      </c>
      <c r="C57" s="436"/>
      <c r="D57" s="697" t="str">
        <f>AR57</f>
        <v>A</v>
      </c>
      <c r="E57" s="698">
        <f>12+13+10</f>
        <v>35</v>
      </c>
      <c r="F57" s="894"/>
      <c r="G57" s="895">
        <v>20</v>
      </c>
      <c r="H57" s="434" t="s">
        <v>378</v>
      </c>
      <c r="I57" s="436"/>
      <c r="J57" s="884" t="s">
        <v>597</v>
      </c>
      <c r="K57" s="885"/>
      <c r="L57" s="885"/>
      <c r="M57" s="886"/>
      <c r="N57" s="699"/>
      <c r="O57" s="700">
        <v>289</v>
      </c>
      <c r="P57" s="638" t="s">
        <v>395</v>
      </c>
      <c r="Q57" s="638"/>
      <c r="R57" s="930">
        <f>IF(OR(D57="N",D57="P",D57="Q"),INT(E57)&amp;" "&amp;Sigle_Monnaie,IF(D57="A",,E57/100))</f>
        <v>0</v>
      </c>
      <c r="S57" s="703">
        <f>IF(OR(ISBLANK(D57),MID(D57,1,1)=" "),,ROUND(IF(SEARCH(MID(D57,1,1),H57,1)&gt;0,IF(OR(D57="N",D57="P",D57="Q"),VLOOKUP(MID(D57,1,1),BASE,3)*E57/1000,VLOOKUP(MID(D57,1,1),BASE,3)*E57/100),),0))</f>
        <v>35</v>
      </c>
      <c r="T57" s="701"/>
      <c r="U57" s="705">
        <f t="shared" si="50"/>
        <v>42</v>
      </c>
      <c r="V57" s="706" t="str">
        <f t="shared" si="19"/>
        <v>TVA 20SUEZ + ENEDIS + TEL . . . . . . . . . . . . . . . . . . . . . . . . . . . . . . . . . . . . . . . . . . . . . . . . . . . . . . . . . . . . . . . . . . . .</v>
      </c>
      <c r="W57" s="509"/>
      <c r="X57" s="403"/>
      <c r="Y57" s="403"/>
      <c r="Z57" s="509"/>
      <c r="AA57" s="509"/>
      <c r="AB57" s="707"/>
      <c r="AC57" s="708" t="s">
        <v>169</v>
      </c>
      <c r="AD57" s="709" t="s">
        <v>169</v>
      </c>
      <c r="AE57" s="710"/>
      <c r="AF57" s="710"/>
      <c r="AG57" s="736"/>
      <c r="AH57" s="434">
        <f>1+(G57/100)</f>
        <v>1.2</v>
      </c>
      <c r="AI57" s="443">
        <f>ROUND(VRDEHT*AH57,0)</f>
        <v>42</v>
      </c>
      <c r="AK57" s="443">
        <f>IF(OR(ISBLANK(D57),MID(D57,1,1)=" "),,ROUND(IF(SEARCH(MID(D57,1,1),H57,1)&gt;0,VLOOKUP(MID(D57,1,1),BASE,4)*E57/100,),0))</f>
        <v>35</v>
      </c>
      <c r="AL57" s="443">
        <f>IF(OR(ISBLANK(D57),MID(D57,1,1)=" "),,ROUND(IF(SEARCH(MID(D57,1,1),H57,1)&gt;0,VLOOKUP(MID(D57,1,1),BASE,5)*E57/100,),0))</f>
        <v>0</v>
      </c>
      <c r="AM57" s="443">
        <f>IF(OR(ISBLANK(D57),MID(D57,1,1)=" "),,ROUND(IF(SEARCH(MID(D57,1,1),H57,1)&gt;0,VLOOKUP(MID(D57,1,1),BASE,6)*E57/100,),0))</f>
        <v>0</v>
      </c>
      <c r="AN57" s="712">
        <f>AK57*AH57</f>
        <v>42</v>
      </c>
      <c r="AO57" s="712">
        <f t="shared" si="51"/>
        <v>0</v>
      </c>
      <c r="AP57" s="712">
        <f t="shared" si="51"/>
        <v>0</v>
      </c>
      <c r="AQ57" s="436"/>
      <c r="AR57" s="716" t="s">
        <v>246</v>
      </c>
      <c r="AS57" s="717">
        <v>0</v>
      </c>
      <c r="AT57" s="434">
        <v>19.600000000000001</v>
      </c>
      <c r="AU57" s="434" t="str">
        <f>IF(VRDEHT=0,"SL","LL")</f>
        <v>LL</v>
      </c>
      <c r="AV57" s="434" t="s">
        <v>277</v>
      </c>
      <c r="AW57" s="483">
        <f t="shared" si="31"/>
        <v>0</v>
      </c>
      <c r="AX57" s="719" t="str">
        <f t="shared" si="45"/>
        <v/>
      </c>
      <c r="AY57" s="434" t="str">
        <f t="shared" si="49"/>
        <v/>
      </c>
      <c r="AZ57" s="434" t="str">
        <f t="shared" si="46"/>
        <v>TVA 20</v>
      </c>
      <c r="BA57" s="715" t="str">
        <f t="shared" si="12"/>
        <v>SUEZ + ENEDIS + TEL</v>
      </c>
    </row>
    <row r="58" spans="1:53" ht="15.6">
      <c r="A58" s="696">
        <f>IF(OR(ISBLANK(D58),MID(D58,1,1)=" "),IF(OR(ISBLANK(E58),E58=0),,"*"),IF(ISERR(SEARCH(MID(D58,1,1),H58,1)),"*",))</f>
        <v>0</v>
      </c>
      <c r="B58" s="846" t="s">
        <v>600</v>
      </c>
      <c r="C58" s="845"/>
      <c r="D58" s="697" t="str">
        <f>AR58</f>
        <v>A</v>
      </c>
      <c r="E58" s="698">
        <v>30</v>
      </c>
      <c r="F58" s="894"/>
      <c r="G58" s="895">
        <v>20</v>
      </c>
      <c r="H58" s="434" t="s">
        <v>378</v>
      </c>
      <c r="I58" s="436"/>
      <c r="J58" s="884"/>
      <c r="K58" s="885"/>
      <c r="L58" s="885"/>
      <c r="M58" s="886"/>
      <c r="N58" s="699"/>
      <c r="O58" s="700" t="str">
        <f>"   "&amp;B58</f>
        <v xml:space="preserve">   TS VRD/EV</v>
      </c>
      <c r="P58" s="638"/>
      <c r="Q58" s="638"/>
      <c r="R58" s="930">
        <f>IF(OR(D58="N",D58="P",D58="Q"),INT(E58)&amp;" "&amp;Sigle_Monnaie,IF(D58="A",,E58/100))</f>
        <v>0</v>
      </c>
      <c r="S58" s="703">
        <f>IF(OR(ISBLANK(D58),MID(D58,1,1)=" "),,ROUND(IF(SEARCH(MID(D58,1,1),H58,1)&gt;0,IF(OR(D58="N",D58="P",D58="Q"),VLOOKUP(MID(D58,1,1),BASE,3)*E58/1000,VLOOKUP(MID(D58,1,1),BASE,3)*E58/100),),0))</f>
        <v>30</v>
      </c>
      <c r="T58" s="701"/>
      <c r="U58" s="833">
        <f t="shared" si="50"/>
        <v>36</v>
      </c>
      <c r="V58" s="706" t="str">
        <f t="shared" si="19"/>
        <v>TVA 20. . . . . . . . . . . . . . . . . . . . . . . . . . . . . . . . . . . . . . . . . . . . . . . . . . . . . . . . . . . . . . . . . . . .</v>
      </c>
      <c r="W58" s="509"/>
      <c r="X58" s="403"/>
      <c r="Y58" s="403"/>
      <c r="Z58" s="509"/>
      <c r="AA58" s="509"/>
      <c r="AB58" s="707"/>
      <c r="AC58" s="708" t="s">
        <v>169</v>
      </c>
      <c r="AD58" s="709" t="s">
        <v>169</v>
      </c>
      <c r="AE58" s="710"/>
      <c r="AF58" s="710"/>
      <c r="AG58" s="736"/>
      <c r="AH58" s="434">
        <f>1+(G58/100)</f>
        <v>1.2</v>
      </c>
      <c r="AI58" s="443">
        <f>ROUND(PL3_1HT*AH58,0)</f>
        <v>36</v>
      </c>
      <c r="AK58" s="443">
        <f>IF(OR(ISBLANK(D58),MID(D58,1,1)=" "),,ROUND(IF(SEARCH(MID(D58,1,1),H58,1)&gt;0,VLOOKUP(MID(D58,1,1),BASE,4)*E58/100,),0))</f>
        <v>30</v>
      </c>
      <c r="AL58" s="443">
        <f>IF(OR(ISBLANK(D58),MID(D58,1,1)=" "),,ROUND(IF(SEARCH(MID(D58,1,1),H58,1)&gt;0,VLOOKUP(MID(D58,1,1),BASE,5)*E58/100,),0))</f>
        <v>0</v>
      </c>
      <c r="AM58" s="443">
        <f>IF(OR(ISBLANK(D58),MID(D58,1,1)=" "),,ROUND(IF(SEARCH(MID(D58,1,1),H58,1)&gt;0,VLOOKUP(MID(D58,1,1),BASE,6)*E58/100,),0))</f>
        <v>0</v>
      </c>
      <c r="AN58" s="712">
        <f>AK58*AH58</f>
        <v>36</v>
      </c>
      <c r="AO58" s="712">
        <f t="shared" si="51"/>
        <v>0</v>
      </c>
      <c r="AP58" s="712">
        <f t="shared" si="51"/>
        <v>0</v>
      </c>
      <c r="AQ58" s="436"/>
      <c r="AR58" s="453" t="s">
        <v>246</v>
      </c>
      <c r="AS58" s="735">
        <v>0</v>
      </c>
      <c r="AT58" s="434">
        <v>19.600000000000001</v>
      </c>
      <c r="AU58" s="434" t="str">
        <f>IF(PL3_1HT=0,"SL","LL")</f>
        <v>LL</v>
      </c>
      <c r="AV58" s="434" t="s">
        <v>277</v>
      </c>
      <c r="AW58" s="483">
        <f t="shared" si="31"/>
        <v>0</v>
      </c>
      <c r="AX58" s="719"/>
      <c r="AY58" s="434" t="str">
        <f t="shared" si="49"/>
        <v/>
      </c>
      <c r="AZ58" s="434" t="str">
        <f t="shared" si="46"/>
        <v>TVA 20</v>
      </c>
      <c r="BA58" s="715">
        <f t="shared" si="12"/>
        <v>0</v>
      </c>
    </row>
    <row r="59" spans="1:53" ht="12" customHeight="1">
      <c r="C59" s="434"/>
      <c r="D59" s="444"/>
      <c r="E59" s="444"/>
      <c r="F59" s="444"/>
      <c r="G59" s="724"/>
      <c r="I59" s="436"/>
      <c r="J59" s="444"/>
      <c r="K59" s="436"/>
      <c r="L59" s="436"/>
      <c r="M59" s="436"/>
      <c r="N59" s="699"/>
      <c r="O59" s="700"/>
      <c r="P59" s="638"/>
      <c r="Q59" s="738" t="s">
        <v>508</v>
      </c>
      <c r="R59" s="930"/>
      <c r="S59" s="739">
        <f>SUM(VRDIHT:PL3_1HT)</f>
        <v>515</v>
      </c>
      <c r="T59" s="701"/>
      <c r="U59" s="705">
        <f>SUM(U56:U58)</f>
        <v>618</v>
      </c>
      <c r="V59" s="706" t="str">
        <f t="shared" si="19"/>
        <v>. . . . . . . . . . . . . . . . . . . . . . . . . . . . . . . . . . . . . . . . . . . . . . . . . . . . . . . . . . . . . . . . . . . .</v>
      </c>
      <c r="W59" s="509"/>
      <c r="X59" s="403"/>
      <c r="Y59" s="403"/>
      <c r="Z59" s="509"/>
      <c r="AA59" s="509"/>
      <c r="AB59" s="707"/>
      <c r="AC59" s="708">
        <f>IF($Q$20&lt;&gt;0,VRDHT/$Q$20*1000,0)</f>
        <v>330.12820512820514</v>
      </c>
      <c r="AD59" s="709">
        <f>IF(SURF_HABIT&lt;&gt;0,AK59/SURF_HABIT*1000,0)</f>
        <v>349.09100768678064</v>
      </c>
      <c r="AE59" s="709">
        <f>IF(NB_LOGT&lt;&gt;0,AK59/NB_LOGT,0)</f>
        <v>23.40909090909091</v>
      </c>
      <c r="AF59" s="710"/>
      <c r="AG59" s="711">
        <f>IF(SURF_UTIL&lt;&gt;0,(AM59/SURF_UTIL)*1000,0)</f>
        <v>0</v>
      </c>
      <c r="AJ59" s="444">
        <f>AI56+AI57+AI58+AJ54</f>
        <v>1241</v>
      </c>
      <c r="AK59" s="712">
        <f t="shared" ref="AK59:AP59" si="52">SUM(AK56:AK58)</f>
        <v>515</v>
      </c>
      <c r="AL59" s="712">
        <f t="shared" si="52"/>
        <v>0</v>
      </c>
      <c r="AM59" s="712">
        <f t="shared" si="52"/>
        <v>0</v>
      </c>
      <c r="AN59" s="712">
        <f t="shared" si="52"/>
        <v>618</v>
      </c>
      <c r="AO59" s="712">
        <f t="shared" si="52"/>
        <v>0</v>
      </c>
      <c r="AP59" s="712">
        <f t="shared" si="52"/>
        <v>0</v>
      </c>
      <c r="AQ59" s="436"/>
      <c r="AR59" s="532"/>
      <c r="AS59" s="721"/>
      <c r="AU59" s="434" t="s">
        <v>277</v>
      </c>
      <c r="AV59" s="434" t="s">
        <v>277</v>
      </c>
      <c r="AW59" s="483">
        <f t="shared" si="31"/>
        <v>0</v>
      </c>
      <c r="AX59" s="719" t="str">
        <f>IF(D59&lt;&gt;AR59,"BM,","")</f>
        <v/>
      </c>
      <c r="AY59" s="434" t="str">
        <f t="shared" si="49"/>
        <v/>
      </c>
      <c r="AZ59" s="434" t="str">
        <f t="shared" si="46"/>
        <v/>
      </c>
      <c r="BA59" s="715">
        <f t="shared" si="12"/>
        <v>0</v>
      </c>
    </row>
    <row r="60" spans="1:53" ht="12.9" customHeight="1">
      <c r="A60" s="696">
        <f>IF(OR(ISBLANK(D60),MID(D60,1,1)=" "),IF(OR(ISBLANK(E60),E60=0),,"*"),IF(ISERR(SEARCH(MID(D60,1,1),H60,1)),"*",))</f>
        <v>0</v>
      </c>
      <c r="B60" s="434" t="str">
        <f>O60&amp;" "&amp;P60</f>
        <v>388 Construction lgts</v>
      </c>
      <c r="C60" s="436"/>
      <c r="D60" s="697" t="str">
        <f>AR60</f>
        <v>A</v>
      </c>
      <c r="E60" s="698">
        <v>1833</v>
      </c>
      <c r="F60" s="894"/>
      <c r="G60" s="895">
        <v>20</v>
      </c>
      <c r="H60" s="434" t="s">
        <v>396</v>
      </c>
      <c r="I60" s="436"/>
      <c r="J60" s="884">
        <f>E60*1000/G4</f>
        <v>1242.4928487181921</v>
      </c>
      <c r="K60" s="885" t="s">
        <v>596</v>
      </c>
      <c r="L60" s="885"/>
      <c r="M60" s="886"/>
      <c r="N60" s="699"/>
      <c r="O60" s="700">
        <v>388</v>
      </c>
      <c r="P60" s="638" t="s">
        <v>397</v>
      </c>
      <c r="Q60" s="738"/>
      <c r="R60" s="930">
        <f>IF(OR(D60="N",D60="P",D60="Q"),INT(E60)&amp;" "&amp;Sigle_Monnaie,IF(D60="A",,E60/100))</f>
        <v>0</v>
      </c>
      <c r="S60" s="703">
        <f>IF(OR(ISBLANK(D60),MID(D60,1,1)=" "),,ROUND(IF(SEARCH(MID(D60,1,1),H60,1)&gt;0,IF(OR(D60="N",D60="P",D60="Q"),VLOOKUP(MID(D60,1,1),BASE,3)*E60/1000,VLOOKUP(MID(D60,1,1),BASE,3)*E60/100),),0))</f>
        <v>1833</v>
      </c>
      <c r="T60" s="701"/>
      <c r="U60" s="705">
        <f t="shared" si="50"/>
        <v>2200</v>
      </c>
      <c r="V60" s="706" t="str">
        <f t="shared" si="19"/>
        <v>TVA 201242,49284871819 . . . . . . . . . . . . . . . . . . . . . . . . . . . . . . . . . . . . . . . . . . . . . . . . . . . . . . . . . . . . . . . . . . . .</v>
      </c>
      <c r="W60" s="509"/>
      <c r="X60" s="403"/>
      <c r="Y60" s="403"/>
      <c r="Z60" s="509"/>
      <c r="AA60" s="509"/>
      <c r="AB60" s="707"/>
      <c r="AC60" s="708">
        <f>IF($Q$20&lt;&gt;0,CONLHT/$Q$20*1000,0)</f>
        <v>1175</v>
      </c>
      <c r="AD60" s="709">
        <f>IF(SURF_HABIT&lt;&gt;0,AK60/SURF_HABIT*1000,0)</f>
        <v>1242.4928487181921</v>
      </c>
      <c r="AE60" s="709">
        <f>IF(NB_LOGT&lt;&gt;0,AK60/NB_LOGT,0)</f>
        <v>83.318181818181813</v>
      </c>
      <c r="AF60" s="710"/>
      <c r="AG60" s="736"/>
      <c r="AH60" s="434">
        <f>1+(G60/100)</f>
        <v>1.2</v>
      </c>
      <c r="AI60" s="443">
        <f>ROUND(CONLHT*AH60,0)</f>
        <v>2200</v>
      </c>
      <c r="AK60" s="712">
        <f>CONLHT</f>
        <v>1833</v>
      </c>
      <c r="AL60" s="712"/>
      <c r="AM60" s="712"/>
      <c r="AN60" s="712">
        <f>AK60*AH60</f>
        <v>2199.6</v>
      </c>
      <c r="AO60" s="712">
        <f>AL60*AH60</f>
        <v>0</v>
      </c>
      <c r="AP60" s="712">
        <f>AM60*AH60</f>
        <v>0</v>
      </c>
      <c r="AQ60" s="436"/>
      <c r="AR60" s="453" t="s">
        <v>246</v>
      </c>
      <c r="AS60" s="434">
        <f>AY27</f>
        <v>0</v>
      </c>
      <c r="AT60" s="434">
        <v>19.600000000000001</v>
      </c>
      <c r="AU60" s="434" t="str">
        <f>IF(CONLHT=0,"SL","LL")</f>
        <v>LL</v>
      </c>
      <c r="AV60" s="434" t="s">
        <v>277</v>
      </c>
      <c r="AW60" s="483">
        <f t="shared" si="31"/>
        <v>0</v>
      </c>
      <c r="AX60" s="719" t="str">
        <f>IF(D60&lt;&gt;AR60,"BM,","")</f>
        <v/>
      </c>
      <c r="AY60" s="434" t="str">
        <f t="shared" si="49"/>
        <v/>
      </c>
      <c r="AZ60" s="434" t="str">
        <f t="shared" si="46"/>
        <v>TVA 20</v>
      </c>
      <c r="BA60" s="715">
        <f t="shared" si="12"/>
        <v>1242.4928487181921</v>
      </c>
    </row>
    <row r="61" spans="1:53" ht="12.9" customHeight="1">
      <c r="A61" s="696">
        <f>IF(OR(ISBLANK(D61),MID(D61,1,1)=" "),IF(OR(ISBLANK(E61),E61=0),,"*"),IF(ISERR(SEARCH(MID(D61,1,1),H61,1)),"*",))</f>
        <v>0</v>
      </c>
      <c r="B61" s="434" t="str">
        <f>O61&amp;" "&amp;P61</f>
        <v xml:space="preserve">   Construction garage</v>
      </c>
      <c r="C61" s="436"/>
      <c r="D61" s="697" t="str">
        <f>AR61</f>
        <v>A</v>
      </c>
      <c r="E61" s="698"/>
      <c r="F61" s="894"/>
      <c r="G61" s="895">
        <v>20</v>
      </c>
      <c r="H61" s="434" t="s">
        <v>398</v>
      </c>
      <c r="I61" s="436"/>
      <c r="J61" s="884"/>
      <c r="K61" s="885"/>
      <c r="L61" s="885"/>
      <c r="M61" s="886"/>
      <c r="N61" s="699"/>
      <c r="O61" s="700" t="s">
        <v>399</v>
      </c>
      <c r="P61" s="638" t="s">
        <v>400</v>
      </c>
      <c r="Q61" s="738"/>
      <c r="R61" s="930">
        <f>IF(OR(D61="N",D61="P",D61="Q"),INT(E61)&amp;" "&amp;Sigle_Monnaie,IF(D61="A",,E61/100))</f>
        <v>0</v>
      </c>
      <c r="S61" s="703">
        <f>IF(OR(ISBLANK(D61),MID(D61,1,1)=" "),,ROUND(IF(SEARCH(MID(D61,1,1),H61,1)&gt;0,IF(OR(D61="N",D61="P",D61="Q"),VLOOKUP(MID(D61,1,1),BASE,3)*E61/1000,VLOOKUP(MID(D61,1,1),BASE,3)*E61/100),),0))</f>
        <v>0</v>
      </c>
      <c r="T61" s="701"/>
      <c r="U61" s="705">
        <f t="shared" si="50"/>
        <v>0</v>
      </c>
      <c r="V61" s="706" t="str">
        <f t="shared" si="19"/>
        <v>TVA 20. . . . . . . . . . . . . . . . . . . . . . . . . . . . . . . . . . . . . . . . . . . . . . . . . . . . . . . . . . . . . . . . . . . .</v>
      </c>
      <c r="W61" s="509"/>
      <c r="X61" s="403"/>
      <c r="Y61" s="403"/>
      <c r="Z61" s="509"/>
      <c r="AA61" s="509"/>
      <c r="AB61" s="707"/>
      <c r="AC61" s="708">
        <f>IF($Q$20&lt;&gt;0,CONGHT/$Q$20*1000,0)</f>
        <v>0</v>
      </c>
      <c r="AD61" s="709" t="s">
        <v>169</v>
      </c>
      <c r="AE61" s="710"/>
      <c r="AF61" s="709">
        <f>IF($AE$21&lt;&gt;0,AL61/$AE$21,0)</f>
        <v>0</v>
      </c>
      <c r="AG61" s="736"/>
      <c r="AH61" s="434">
        <f>1+(G61/100)</f>
        <v>1.2</v>
      </c>
      <c r="AI61" s="443">
        <f>ROUND(CONGHT*AH61,0)</f>
        <v>0</v>
      </c>
      <c r="AK61" s="712"/>
      <c r="AL61" s="712">
        <f>CONGHT</f>
        <v>0</v>
      </c>
      <c r="AM61" s="712"/>
      <c r="AN61" s="712">
        <f>AK61*AH61</f>
        <v>0</v>
      </c>
      <c r="AO61" s="712">
        <f>AL61*AH61</f>
        <v>0</v>
      </c>
      <c r="AP61" s="712">
        <f>AM61*AH61</f>
        <v>0</v>
      </c>
      <c r="AQ61" s="436"/>
      <c r="AR61" s="453" t="s">
        <v>246</v>
      </c>
      <c r="AS61" s="434">
        <f>(J16*M16)+(J17*M17)+(J19*M19)</f>
        <v>0</v>
      </c>
      <c r="AT61" s="434">
        <v>19.600000000000001</v>
      </c>
      <c r="AU61" s="434" t="str">
        <f>IF(CONGHT=0,"SL","LL")</f>
        <v>SL</v>
      </c>
      <c r="AV61" s="434" t="s">
        <v>277</v>
      </c>
      <c r="AW61" s="483">
        <f t="shared" si="31"/>
        <v>0</v>
      </c>
      <c r="AX61" s="719" t="str">
        <f>IF(D61&lt;&gt;AR61,"BM,","")</f>
        <v/>
      </c>
      <c r="AY61" s="434" t="str">
        <f t="shared" si="49"/>
        <v/>
      </c>
      <c r="AZ61" s="434" t="str">
        <f t="shared" si="46"/>
        <v>TVA 20</v>
      </c>
      <c r="BA61" s="715">
        <f t="shared" si="12"/>
        <v>0</v>
      </c>
    </row>
    <row r="62" spans="1:53" ht="12.9" customHeight="1">
      <c r="A62" s="696">
        <f>IF(OR(ISBLANK(D62),MID(D62,1,1)=" "),IF(OR(ISBLANK(E62),E62=0),,"*"),IF(ISERR(SEARCH(MID(D62,1,1),H62,1)),"*",))</f>
        <v>0</v>
      </c>
      <c r="B62" s="434" t="str">
        <f>O62&amp;" "&amp;P62</f>
        <v xml:space="preserve">   Construct. autres</v>
      </c>
      <c r="C62" s="436"/>
      <c r="D62" s="697" t="str">
        <f>AR62</f>
        <v>A</v>
      </c>
      <c r="E62" s="698"/>
      <c r="F62" s="894"/>
      <c r="G62" s="895">
        <v>20</v>
      </c>
      <c r="H62" s="434" t="s">
        <v>246</v>
      </c>
      <c r="I62" s="436"/>
      <c r="J62" s="884"/>
      <c r="K62" s="885"/>
      <c r="L62" s="885"/>
      <c r="M62" s="886"/>
      <c r="N62" s="699"/>
      <c r="O62" s="700" t="s">
        <v>399</v>
      </c>
      <c r="P62" s="638" t="s">
        <v>401</v>
      </c>
      <c r="Q62" s="738"/>
      <c r="R62" s="930">
        <f>IF(OR(D62="N",D62="P",D62="Q"),INT(E62)&amp;" "&amp;Sigle_Monnaie,IF(D62="A",,E62/100))</f>
        <v>0</v>
      </c>
      <c r="S62" s="703">
        <f>IF(OR(ISBLANK(D62),MID(D62,1,1)=" "),,ROUND(IF(SEARCH(MID(D62,1,1),H62,1)&gt;0,IF(OR(D62="N",D62="P",D62="Q"),VLOOKUP(MID(D62,1,1),BASE,3)*E62/1000,VLOOKUP(MID(D62,1,1),BASE,3)*E62/100),),0))</f>
        <v>0</v>
      </c>
      <c r="T62" s="701"/>
      <c r="U62" s="705">
        <f t="shared" si="50"/>
        <v>0</v>
      </c>
      <c r="V62" s="706" t="str">
        <f t="shared" si="19"/>
        <v>TVA 20. . . . . . . . . . . . . . . . . . . . . . . . . . . . . . . . . . . . . . . . . . . . . . . . . . . . . . . . . . . . . . . . . . . .</v>
      </c>
      <c r="W62" s="509"/>
      <c r="X62" s="403"/>
      <c r="Y62" s="403"/>
      <c r="Z62" s="509"/>
      <c r="AA62" s="509"/>
      <c r="AB62" s="707"/>
      <c r="AC62" s="708">
        <f>IF($Q$20&lt;&gt;0,CONDHT/$Q$20*1000,0)</f>
        <v>0</v>
      </c>
      <c r="AD62" s="709" t="s">
        <v>169</v>
      </c>
      <c r="AE62" s="710"/>
      <c r="AF62" s="710"/>
      <c r="AG62" s="711">
        <f>IF(SURF_UTIL&lt;&gt;0,(AM62/SURF_UTIL)*1000,0)</f>
        <v>0</v>
      </c>
      <c r="AH62" s="434">
        <f>1+(G62/100)</f>
        <v>1.2</v>
      </c>
      <c r="AI62" s="443">
        <f>ROUND(CONDHT*AH62,0)</f>
        <v>0</v>
      </c>
      <c r="AK62" s="712"/>
      <c r="AL62" s="712"/>
      <c r="AM62" s="712">
        <f>CONDHT</f>
        <v>0</v>
      </c>
      <c r="AN62" s="712">
        <f>AK62*AH62</f>
        <v>0</v>
      </c>
      <c r="AO62" s="712">
        <f>AL62*AH62</f>
        <v>0</v>
      </c>
      <c r="AP62" s="712">
        <f>AM62*AH62</f>
        <v>0</v>
      </c>
      <c r="AQ62" s="436"/>
      <c r="AR62" s="453" t="s">
        <v>246</v>
      </c>
      <c r="AS62" s="434">
        <f>(J23*M23)+(J25*M25)+(J26*M26)</f>
        <v>0</v>
      </c>
      <c r="AT62" s="434">
        <v>19.600000000000001</v>
      </c>
      <c r="AU62" s="434" t="str">
        <f>IF(CONDHT=0,"SL","LL")</f>
        <v>SL</v>
      </c>
      <c r="AV62" s="434" t="s">
        <v>277</v>
      </c>
      <c r="AW62" s="483">
        <f t="shared" si="31"/>
        <v>0</v>
      </c>
      <c r="AX62" s="719" t="str">
        <f>IF(D62&lt;&gt;AR62,"BM,","")</f>
        <v/>
      </c>
      <c r="AY62" s="434" t="str">
        <f t="shared" si="49"/>
        <v/>
      </c>
      <c r="AZ62" s="434" t="str">
        <f t="shared" si="46"/>
        <v>TVA 20</v>
      </c>
      <c r="BA62" s="715">
        <f t="shared" si="12"/>
        <v>0</v>
      </c>
    </row>
    <row r="63" spans="1:53" ht="12.9" customHeight="1">
      <c r="A63" s="696">
        <f>IF(OR(ISBLANK(D63),MID(D63,1,1)=" "),IF(OR(ISBLANK(E63),E63=0),,"*"),IF(ISERR(SEARCH(MID(D63,1,1),H63,1)),"*",))</f>
        <v>0</v>
      </c>
      <c r="B63" s="434" t="str">
        <f>O63&amp;" "&amp;P63</f>
        <v>353 Prestations Clients</v>
      </c>
      <c r="C63" s="436"/>
      <c r="D63" s="678" t="str">
        <f>AR63</f>
        <v>A</v>
      </c>
      <c r="E63" s="1012">
        <f>AS63</f>
        <v>0</v>
      </c>
      <c r="F63" s="1013"/>
      <c r="G63" s="1014">
        <f>AT63</f>
        <v>19.600000000000001</v>
      </c>
      <c r="H63" s="434" t="s">
        <v>246</v>
      </c>
      <c r="I63" s="436"/>
      <c r="J63" s="1015" t="str">
        <f>IF(M134&lt;&gt;0,CONCATENATE(M134," x ",ROUND(M132/M134,1)*100,"% x ",P132,"€ + ",M134," x ",ROUND(M133/M134,1)*100,"% x ",P133,"€ (Cf Annexes)"),"")</f>
        <v/>
      </c>
      <c r="K63" s="1016"/>
      <c r="L63" s="1016"/>
      <c r="M63" s="1017"/>
      <c r="N63" s="699"/>
      <c r="O63" s="700">
        <v>353</v>
      </c>
      <c r="P63" s="638" t="s">
        <v>557</v>
      </c>
      <c r="Q63" s="738"/>
      <c r="R63" s="930">
        <f>IF(OR(D63="N",D63="P",D63="Q"),INT(E63)&amp;" "&amp;Sigle_Monnaie,IF(D63="A",,E63/100))</f>
        <v>0</v>
      </c>
      <c r="S63" s="703">
        <f>IF(OR(ISBLANK(D63),MID(D63,1,1)=" "),,ROUND(IF(SEARCH(MID(D63,1,1),H63,1)&gt;0,IF(OR(D63="N",D63="P",D63="Q"),VLOOKUP(MID(D63,1,1),BASE,3)*E63/1000,VLOOKUP(MID(D63,1,1),BASE,3)*E63/100),),0))</f>
        <v>0</v>
      </c>
      <c r="T63" s="701"/>
      <c r="U63" s="705">
        <f>AI63</f>
        <v>0</v>
      </c>
      <c r="V63" s="706" t="str">
        <f>IF(OR(ISBLANK(BA63),BA63=0),IF(OR(ISBLANK(D63),MID(D63,1,1)=" ",D63="A"),AX63&amp;AY63&amp;AZ63&amp;LIB_BLANC,IF(SEARCH(MID(D63,1,1),D63,1)&gt;0,AX63&amp;AY63&amp;AZ63&amp;VLOOKUP(MID(D63,1,1),BASE,2),)),AX63&amp;AY63&amp;AZ63&amp;BA63&amp;" "&amp;LIB_BLANC)</f>
        <v xml:space="preserve"> . . . . . . . . . . . . . . . . . . . . . . . . . . . . . . . . . . . . . . . . . . . . . . . . . . . . . . . . . . . . . . . . . . . .</v>
      </c>
      <c r="W63" s="509"/>
      <c r="X63" s="403"/>
      <c r="Y63" s="403"/>
      <c r="Z63" s="509"/>
      <c r="AA63" s="509"/>
      <c r="AB63" s="707"/>
      <c r="AC63" s="708">
        <f>IF($Q$20&lt;&gt;0,CONDHT/$Q$20*1000,0)</f>
        <v>0</v>
      </c>
      <c r="AD63" s="709" t="s">
        <v>169</v>
      </c>
      <c r="AE63" s="710"/>
      <c r="AF63" s="710"/>
      <c r="AG63" s="711">
        <f>IF(SURF_UTIL&lt;&gt;0,(AM63/SURF_UTIL)*1000,0)</f>
        <v>0</v>
      </c>
      <c r="AH63" s="434">
        <f>1+(G63/100)</f>
        <v>1.196</v>
      </c>
      <c r="AI63" s="443">
        <f>ROUND(PERSHT*AH63,0)</f>
        <v>0</v>
      </c>
      <c r="AK63" s="712"/>
      <c r="AL63" s="712"/>
      <c r="AM63" s="712">
        <f>PERSHT</f>
        <v>0</v>
      </c>
      <c r="AN63" s="712">
        <f>AK63*AH63</f>
        <v>0</v>
      </c>
      <c r="AO63" s="712">
        <f>AL63*AH63</f>
        <v>0</v>
      </c>
      <c r="AP63" s="712">
        <f>AM63*AH63</f>
        <v>0</v>
      </c>
      <c r="AQ63" s="436"/>
      <c r="AR63" s="453" t="s">
        <v>246</v>
      </c>
      <c r="AS63" s="1006">
        <f>Q134/1000</f>
        <v>0</v>
      </c>
      <c r="AT63" s="434">
        <v>19.600000000000001</v>
      </c>
      <c r="AU63" s="434" t="str">
        <f>IF(PERSHT=0,"SL","LL")</f>
        <v>SL</v>
      </c>
      <c r="AV63" s="434" t="s">
        <v>277</v>
      </c>
      <c r="AW63" s="483">
        <f>IF(A63="*",1,0)</f>
        <v>0</v>
      </c>
      <c r="AX63" s="719" t="str">
        <f>IF(D63&lt;&gt;AR63,"BM,","")</f>
        <v/>
      </c>
      <c r="AY63" s="434" t="str">
        <f>IF(AND(D63&lt;&gt;"A",E63&lt;&gt;AS63),"TM,","")</f>
        <v/>
      </c>
      <c r="AZ63" s="434" t="str">
        <f>IF(G63&lt;&gt;AT63,IF(G63=0,"TVA 0,00","TVA "&amp;G63),"")</f>
        <v/>
      </c>
      <c r="BA63" s="715" t="str">
        <f>J63</f>
        <v/>
      </c>
    </row>
    <row r="64" spans="1:53">
      <c r="A64" s="696">
        <f>IF(OR(ISBLANK(D64),MID(D64,1,1)=" "),IF(OR(ISBLANK(E64),E64=0),,"*"),IF(ISERR(SEARCH(MID(D64,1,1),H64,1)),"*",))</f>
        <v>0</v>
      </c>
      <c r="B64" s="846" t="s">
        <v>599</v>
      </c>
      <c r="C64" s="845"/>
      <c r="D64" s="697" t="str">
        <f>AR64</f>
        <v>A</v>
      </c>
      <c r="E64" s="698">
        <v>22</v>
      </c>
      <c r="F64" s="894"/>
      <c r="G64" s="895">
        <v>20</v>
      </c>
      <c r="H64" s="434" t="s">
        <v>246</v>
      </c>
      <c r="I64" s="436"/>
      <c r="J64" s="884"/>
      <c r="K64" s="885"/>
      <c r="L64" s="885"/>
      <c r="M64" s="886"/>
      <c r="N64" s="699"/>
      <c r="O64" s="700" t="str">
        <f>"   "&amp;B64</f>
        <v xml:space="preserve">   bandes stériles + mur</v>
      </c>
      <c r="P64" s="638"/>
      <c r="Q64" s="738"/>
      <c r="R64" s="930">
        <f>IF(OR(D64="N",D64="P",D64="Q"),INT(E64)&amp;" "&amp;Sigle_Monnaie,IF(D64="A",,E64/100))</f>
        <v>0</v>
      </c>
      <c r="S64" s="703">
        <f>IF(OR(ISBLANK(D64),MID(D64,1,1)=" "),,ROUND(IF(SEARCH(MID(D64,1,1),H64,1)&gt;0,IF(OR(D64="N",D64="P",D64="Q"),VLOOKUP(MID(D64,1,1),BASE,3)*E64/1000,VLOOKUP(MID(D64,1,1),BASE,3)*E64/100),),0))</f>
        <v>22</v>
      </c>
      <c r="T64" s="701"/>
      <c r="U64" s="833">
        <f t="shared" si="50"/>
        <v>26</v>
      </c>
      <c r="V64" s="706" t="str">
        <f t="shared" si="19"/>
        <v>TVA 20. . . . . . . . . . . . . . . . . . . . . . . . . . . . . . . . . . . . . . . . . . . . . . . . . . . . . . . . . . . . . . . . . . . .</v>
      </c>
      <c r="W64" s="509"/>
      <c r="X64" s="403"/>
      <c r="Y64" s="403"/>
      <c r="Z64" s="509"/>
      <c r="AA64" s="509"/>
      <c r="AB64" s="707"/>
      <c r="AC64" s="708">
        <f>IF($Q$20&lt;&gt;0,PL3_2HT/$Q$20*1000,0)</f>
        <v>14.102564102564102</v>
      </c>
      <c r="AD64" s="709" t="s">
        <v>169</v>
      </c>
      <c r="AE64" s="710"/>
      <c r="AF64" s="710"/>
      <c r="AG64" s="711">
        <f>IF(SURF_UTIL&lt;&gt;0,(AM64/SURF_UTIL)*1000,0)</f>
        <v>0</v>
      </c>
      <c r="AH64" s="434">
        <f>1+(G64/100)</f>
        <v>1.2</v>
      </c>
      <c r="AI64" s="443">
        <f>ROUND(PL3_2HT*AH64,0)</f>
        <v>26</v>
      </c>
      <c r="AK64" s="443">
        <f>IF(OR(ISBLANK(D64),MID(D64,1,1)=" "),,ROUND(IF(SEARCH(MID(D64,1,1),H64,1)&gt;0,VLOOKUP(MID(D64,1,1),BASE,4)*E64/100,),0))</f>
        <v>22</v>
      </c>
      <c r="AL64" s="443">
        <f>IF(OR(ISBLANK(D64),MID(D64,1,1)=" "),,ROUND(IF(SEARCH(MID(D64,1,1),H64,1)&gt;0,VLOOKUP(MID(D64,1,1),BASE,5)*E64/100,),0))</f>
        <v>0</v>
      </c>
      <c r="AM64" s="443">
        <f>IF(OR(ISBLANK(D64),MID(D64,1,1)=" "),,ROUND(IF(SEARCH(MID(D64,1,1),H64,1)&gt;0,VLOOKUP(MID(D64,1,1),BASE,6)*E64/100,),0))</f>
        <v>0</v>
      </c>
      <c r="AN64" s="712">
        <f>AK64*AH64</f>
        <v>26.4</v>
      </c>
      <c r="AO64" s="712">
        <f>AL64*AH64</f>
        <v>0</v>
      </c>
      <c r="AP64" s="712">
        <f>AM64*AH64</f>
        <v>0</v>
      </c>
      <c r="AQ64" s="436"/>
      <c r="AR64" s="453" t="s">
        <v>246</v>
      </c>
      <c r="AS64" s="721"/>
      <c r="AT64" s="434">
        <v>19.600000000000001</v>
      </c>
      <c r="AU64" s="434" t="str">
        <f>IF(PL3_2HT=0,"SL","LL")</f>
        <v>LL</v>
      </c>
      <c r="AV64" s="434" t="s">
        <v>277</v>
      </c>
      <c r="AW64" s="483">
        <f t="shared" si="31"/>
        <v>0</v>
      </c>
      <c r="AX64" s="719"/>
      <c r="AZ64" s="434" t="str">
        <f t="shared" si="46"/>
        <v>TVA 20</v>
      </c>
      <c r="BA64" s="715">
        <f t="shared" si="12"/>
        <v>0</v>
      </c>
    </row>
    <row r="65" spans="1:53" ht="12" customHeight="1">
      <c r="C65" s="434"/>
      <c r="D65" s="444"/>
      <c r="E65" s="444"/>
      <c r="F65" s="444"/>
      <c r="G65" s="724"/>
      <c r="I65" s="436"/>
      <c r="J65" s="444"/>
      <c r="K65" s="436"/>
      <c r="L65" s="436"/>
      <c r="M65" s="436"/>
      <c r="N65" s="699"/>
      <c r="O65" s="700"/>
      <c r="P65" s="638"/>
      <c r="Q65" s="738" t="s">
        <v>402</v>
      </c>
      <c r="R65" s="930"/>
      <c r="S65" s="739">
        <f>SUM(CONLHT:PL3_2HT)</f>
        <v>1855</v>
      </c>
      <c r="T65" s="701"/>
      <c r="U65" s="705">
        <f t="shared" si="50"/>
        <v>2226</v>
      </c>
      <c r="V65" s="706" t="str">
        <f t="shared" si="19"/>
        <v>. . . . . . . . . . . . . . . . . . . . . . . . . . . . . . . . . . . . . . . . . . . . . . . . . . . . . . . . . . . . . . . . . . . .</v>
      </c>
      <c r="W65" s="509"/>
      <c r="X65" s="403"/>
      <c r="Y65" s="403"/>
      <c r="Z65" s="509"/>
      <c r="AA65" s="509"/>
      <c r="AB65" s="707"/>
      <c r="AC65" s="708">
        <f>SUM(AC60:AC64)</f>
        <v>1189.1025641025642</v>
      </c>
      <c r="AD65" s="740"/>
      <c r="AE65" s="740"/>
      <c r="AF65" s="709"/>
      <c r="AG65" s="711"/>
      <c r="AI65" s="443">
        <f>SUM(AI60:AI64)</f>
        <v>2226</v>
      </c>
      <c r="AK65" s="712">
        <f t="shared" ref="AK65:AP65" si="53">SUM(AK60:AK64)</f>
        <v>1855</v>
      </c>
      <c r="AL65" s="712">
        <f t="shared" si="53"/>
        <v>0</v>
      </c>
      <c r="AM65" s="712">
        <f t="shared" si="53"/>
        <v>0</v>
      </c>
      <c r="AN65" s="712">
        <f t="shared" si="53"/>
        <v>2226</v>
      </c>
      <c r="AO65" s="712">
        <f t="shared" si="53"/>
        <v>0</v>
      </c>
      <c r="AP65" s="712">
        <f t="shared" si="53"/>
        <v>0</v>
      </c>
      <c r="AQ65" s="436"/>
      <c r="AR65" s="532"/>
      <c r="AS65" s="721"/>
      <c r="AU65" s="434" t="s">
        <v>277</v>
      </c>
      <c r="AV65" s="434" t="s">
        <v>277</v>
      </c>
      <c r="AW65" s="483">
        <f t="shared" si="31"/>
        <v>0</v>
      </c>
      <c r="AX65" s="719" t="str">
        <f>IF(D65&lt;&gt;AR65,"BM,","")</f>
        <v/>
      </c>
      <c r="AY65" s="434" t="str">
        <f>IF(AND(D65&lt;&gt;"A",E65&lt;&gt;AS65),"TM,","")</f>
        <v/>
      </c>
      <c r="AZ65" s="434" t="str">
        <f t="shared" si="46"/>
        <v/>
      </c>
      <c r="BA65" s="435">
        <f t="shared" si="12"/>
        <v>0</v>
      </c>
    </row>
    <row r="66" spans="1:53" ht="12.9" customHeight="1">
      <c r="A66" s="696">
        <f>IF(OR(ISBLANK(D66),MID(D66,1,1)=" "),IF(OR(ISBLANK(E66),E66=0),,"*"),IF(ISERR(SEARCH(MID(D66,1,1),H66,1)),"*",))</f>
        <v>0</v>
      </c>
      <c r="B66" s="434" t="str">
        <f>O66&amp;" "&amp;P66</f>
        <v>410 Imprévus / SAV</v>
      </c>
      <c r="C66" s="436"/>
      <c r="D66" s="697" t="s">
        <v>246</v>
      </c>
      <c r="E66" s="698">
        <v>35</v>
      </c>
      <c r="F66" s="894"/>
      <c r="G66" s="895">
        <v>20</v>
      </c>
      <c r="H66" s="434" t="s">
        <v>403</v>
      </c>
      <c r="I66" s="436"/>
      <c r="J66" s="884" t="s">
        <v>598</v>
      </c>
      <c r="K66" s="885"/>
      <c r="L66" s="885"/>
      <c r="M66" s="886"/>
      <c r="N66" s="699"/>
      <c r="O66" s="700">
        <v>410</v>
      </c>
      <c r="P66" s="638" t="s">
        <v>404</v>
      </c>
      <c r="Q66" s="638"/>
      <c r="R66" s="930">
        <f>IF(OR(D66="N",D66="P",D66="Q"),INT(E66)&amp;" "&amp;Sigle_Monnaie,IF(D66="A",,E66/100))</f>
        <v>0</v>
      </c>
      <c r="S66" s="703">
        <f>IF(OR(ISBLANK(D66),MID(D66,1,1)=" "),,ROUND(IF(SEARCH(MID(D66,1,1),H66,1)&gt;0,IF(OR(D66="N",D66="P",D66="Q"),VLOOKUP(MID(D66,1,1),BASE,3)*E66/1000,VLOOKUP(MID(D66,1,1),BASE,3)*E66/100),),0))</f>
        <v>35</v>
      </c>
      <c r="T66" s="701"/>
      <c r="U66" s="705">
        <f t="shared" si="50"/>
        <v>42</v>
      </c>
      <c r="V66" s="706" t="str">
        <f t="shared" si="19"/>
        <v>BM,TVA 20Tableau nadege . . . . . . . . . . . . . . . . . . . . . . . . . . . . . . . . . . . . . . . . . . . . . . . . . . . . . . . . . . . . . . . . . . . .</v>
      </c>
      <c r="W66" s="509"/>
      <c r="X66" s="403"/>
      <c r="Y66" s="403"/>
      <c r="Z66" s="509"/>
      <c r="AA66" s="509"/>
      <c r="AB66" s="707"/>
      <c r="AC66" s="708" t="s">
        <v>169</v>
      </c>
      <c r="AD66" s="709" t="s">
        <v>169</v>
      </c>
      <c r="AE66" s="710"/>
      <c r="AF66" s="710"/>
      <c r="AG66" s="736"/>
      <c r="AH66" s="434">
        <f>1+(G66/100)</f>
        <v>1.2</v>
      </c>
      <c r="AI66" s="443">
        <f>ROUND(IMPHT*AH66,0)</f>
        <v>42</v>
      </c>
      <c r="AK66" s="443">
        <f>IF(OR(ISBLANK(D66),MID(D66,1,1)=" "),,ROUND(IF(SEARCH(MID(D66,1,1),H66,1)&gt;0,VLOOKUP(MID(D66,1,1),BASE,4)*E66/100,),0))</f>
        <v>35</v>
      </c>
      <c r="AL66" s="443">
        <f>IF(OR(ISBLANK(D66),MID(D66,1,1)=" "),,ROUND(IF(SEARCH(MID(D66,1,1),H66,1)&gt;0,VLOOKUP(MID(D66,1,1),BASE,5)*E66/100,),0))</f>
        <v>0</v>
      </c>
      <c r="AM66" s="443">
        <f>IF(OR(ISBLANK(D66),MID(D66,1,1)=" "),,ROUND(IF(SEARCH(MID(D66,1,1),H66,1)&gt;0,VLOOKUP(MID(D66,1,1),BASE,6)*E66/100,),0))</f>
        <v>0</v>
      </c>
      <c r="AN66" s="712">
        <f>AK66*AH66</f>
        <v>42</v>
      </c>
      <c r="AO66" s="712">
        <f>AL66*AH66</f>
        <v>0</v>
      </c>
      <c r="AP66" s="712">
        <f>AM66*AH66</f>
        <v>0</v>
      </c>
      <c r="AQ66" s="436"/>
      <c r="AR66" s="716" t="s">
        <v>296</v>
      </c>
      <c r="AS66" s="717">
        <v>3</v>
      </c>
      <c r="AT66" s="434">
        <v>19.600000000000001</v>
      </c>
      <c r="AU66" s="434" t="str">
        <f>IF(IMPHT=0,"SL","LL")</f>
        <v>LL</v>
      </c>
      <c r="AV66" s="434" t="s">
        <v>277</v>
      </c>
      <c r="AW66" s="483">
        <f t="shared" si="31"/>
        <v>0</v>
      </c>
      <c r="AX66" s="719" t="str">
        <f>IF(D66&lt;&gt;AR66,"BM,","")</f>
        <v>BM,</v>
      </c>
      <c r="AY66" s="434" t="str">
        <f>IF(AND(D66&lt;&gt;"A",E66&lt;&gt;AS66),"TM,","")</f>
        <v/>
      </c>
      <c r="AZ66" s="434" t="str">
        <f t="shared" si="46"/>
        <v>TVA 20</v>
      </c>
      <c r="BA66" s="435" t="str">
        <f t="shared" si="12"/>
        <v>Tableau nadege</v>
      </c>
    </row>
    <row r="67" spans="1:53" ht="13.8" thickBot="1">
      <c r="A67" s="696">
        <f>IF(OR(ISBLANK(D67),MID(D67,1,1)=" "),IF(OR(ISBLANK(E67),E67=0),,"*"),IF(ISERR(SEARCH(MID(D67,1,1),H67,1)),"*",))</f>
        <v>0</v>
      </c>
      <c r="B67" s="846"/>
      <c r="C67" s="845"/>
      <c r="D67" s="697" t="str">
        <f>AR67</f>
        <v>A</v>
      </c>
      <c r="E67" s="698"/>
      <c r="F67" s="894"/>
      <c r="G67" s="895">
        <v>20</v>
      </c>
      <c r="H67" s="434" t="s">
        <v>405</v>
      </c>
      <c r="I67" s="436"/>
      <c r="J67" s="884"/>
      <c r="K67" s="885"/>
      <c r="L67" s="885"/>
      <c r="M67" s="886"/>
      <c r="N67" s="699"/>
      <c r="O67" s="700" t="str">
        <f>"   "&amp;B67</f>
        <v xml:space="preserve">   </v>
      </c>
      <c r="P67" s="638"/>
      <c r="Q67" s="638"/>
      <c r="R67" s="931">
        <f>IF(OR(D67="N",D67="P",D67="Q"),INT(E67)&amp;" "&amp;Sigle_Monnaie,IF(D67="A",,E67/100))</f>
        <v>0</v>
      </c>
      <c r="S67" s="703">
        <f>IF(OR(ISBLANK(D67),MID(D67,1,1)=" "),,ROUND(IF(SEARCH(MID(D67,1,1),H67,1)&gt;0,IF(OR(D67="N",D67="P",D67="Q"),VLOOKUP(MID(D67,1,1),BASE,3)*E67/1000,VLOOKUP(MID(D67,1,1),BASE,3)*E67/100),),0))</f>
        <v>0</v>
      </c>
      <c r="T67" s="701"/>
      <c r="U67" s="705">
        <f t="shared" si="50"/>
        <v>0</v>
      </c>
      <c r="V67" s="706" t="str">
        <f t="shared" si="19"/>
        <v>TVA 20. . . . . . . . . . . . . . . . . . . . . . . . . . . . . . . . . . . . . . . . . . . . . . . . . . . . . . . . . . . . . . . . . . . .</v>
      </c>
      <c r="W67" s="509"/>
      <c r="X67" s="403"/>
      <c r="Y67" s="403"/>
      <c r="Z67" s="509"/>
      <c r="AA67" s="509"/>
      <c r="AB67" s="707"/>
      <c r="AC67" s="708" t="s">
        <v>169</v>
      </c>
      <c r="AD67" s="709" t="s">
        <v>169</v>
      </c>
      <c r="AE67" s="710"/>
      <c r="AF67" s="710"/>
      <c r="AG67" s="736"/>
      <c r="AH67" s="434">
        <f>1+(G67/100)</f>
        <v>1.2</v>
      </c>
      <c r="AI67" s="443">
        <f>ROUND(PL4_1HT*AH67,0)</f>
        <v>0</v>
      </c>
      <c r="AK67" s="443">
        <f>IF(OR(ISBLANK(D67),MID(D67,1,1)=" "),,ROUND(IF(SEARCH(MID(D67,1,1),H67,1)&gt;0,VLOOKUP(MID(D67,1,1),BASE,4)*E67/100,),0))</f>
        <v>0</v>
      </c>
      <c r="AL67" s="443">
        <f>IF(OR(ISBLANK(D67),MID(D67,1,1)=" "),,ROUND(IF(SEARCH(MID(D67,1,1),H67,1)&gt;0,VLOOKUP(MID(D67,1,1),BASE,5)*E67/100,),0))</f>
        <v>0</v>
      </c>
      <c r="AM67" s="443">
        <f>IF(OR(ISBLANK(D67),MID(D67,1,1)=" "),,ROUND(IF(SEARCH(MID(D67,1,1),H67,1)&gt;0,VLOOKUP(MID(D67,1,1),BASE,6)*E67/100,),0))</f>
        <v>0</v>
      </c>
      <c r="AN67" s="712">
        <f>AK67*AH67</f>
        <v>0</v>
      </c>
      <c r="AO67" s="712">
        <f>AL67*$AH67</f>
        <v>0</v>
      </c>
      <c r="AP67" s="712">
        <f>AM67*$AH67</f>
        <v>0</v>
      </c>
      <c r="AQ67" s="436"/>
      <c r="AR67" s="453" t="s">
        <v>246</v>
      </c>
      <c r="AS67" s="721"/>
      <c r="AT67" s="434">
        <v>19.600000000000001</v>
      </c>
      <c r="AU67" s="434" t="str">
        <f>IF(PL4_1HT=0,"SL","LL")</f>
        <v>SL</v>
      </c>
      <c r="AV67" s="434" t="s">
        <v>277</v>
      </c>
      <c r="AW67" s="483">
        <f t="shared" si="31"/>
        <v>0</v>
      </c>
      <c r="AX67" s="719"/>
      <c r="AZ67" s="434" t="str">
        <f t="shared" si="46"/>
        <v>TVA 20</v>
      </c>
      <c r="BA67" s="435">
        <f t="shared" si="12"/>
        <v>0</v>
      </c>
    </row>
    <row r="68" spans="1:53" s="532" customFormat="1" ht="12.9" customHeight="1" thickBot="1">
      <c r="A68" s="722"/>
      <c r="B68" s="723"/>
      <c r="C68" s="444"/>
      <c r="D68" s="444"/>
      <c r="E68" s="444"/>
      <c r="F68" s="444"/>
      <c r="G68" s="724"/>
      <c r="H68" s="723"/>
      <c r="I68" s="436"/>
      <c r="J68" s="444"/>
      <c r="K68" s="436"/>
      <c r="L68" s="436"/>
      <c r="M68" s="436"/>
      <c r="N68" s="699"/>
      <c r="O68" s="737" t="s">
        <v>406</v>
      </c>
      <c r="P68" s="726" t="s">
        <v>407</v>
      </c>
      <c r="Q68" s="726"/>
      <c r="R68" s="727"/>
      <c r="S68" s="728">
        <f>VRDHT+CONSHT+IMPHT+PL4_1HT</f>
        <v>2405</v>
      </c>
      <c r="T68" s="729">
        <f>IF(PR_REV.TOT_HT&lt;&gt;0,TOT3_4HT/PR_REV.TOT_HT,0)</f>
        <v>0.66898470097357443</v>
      </c>
      <c r="U68" s="416">
        <f t="shared" si="50"/>
        <v>2886</v>
      </c>
      <c r="V68" s="706" t="str">
        <f t="shared" si="19"/>
        <v>. . . . . . . . . . . . . . . . . . . . . . . . . . . . . . . . . . . . . . . . . . . . . . . . . . . . . . . . . . . . . . . . . . . .</v>
      </c>
      <c r="W68" s="509"/>
      <c r="X68" s="403"/>
      <c r="Y68" s="403"/>
      <c r="Z68" s="509"/>
      <c r="AA68" s="509"/>
      <c r="AB68" s="707"/>
      <c r="AC68" s="730">
        <f>IF($Q$20&lt;&gt;0,TOT3_4HT/$Q$20*1000,0)</f>
        <v>1541.6666666666667</v>
      </c>
      <c r="AD68" s="731">
        <f>IF(SURF_HABIT&lt;&gt;0,AK68/SURF_HABIT*1000,0)</f>
        <v>1630.2211135664222</v>
      </c>
      <c r="AE68" s="732">
        <f>IF(NB_LOGT&lt;&gt;0,AK68/NB_LOGT,0)</f>
        <v>109.31818181818181</v>
      </c>
      <c r="AF68" s="732">
        <f>IF($AE$21&lt;&gt;0,AL68/$AE$21,0)</f>
        <v>0</v>
      </c>
      <c r="AG68" s="733">
        <f>IF(SURF_UTIL&lt;&gt;0,(AM68/SURF_UTIL)*1000,0)</f>
        <v>0</v>
      </c>
      <c r="AH68" s="434"/>
      <c r="AI68" s="443">
        <f>SUM(AI56:AI67)-AI65</f>
        <v>2886</v>
      </c>
      <c r="AJ68" s="444">
        <f>AI68+AJ54</f>
        <v>3509</v>
      </c>
      <c r="AK68" s="734">
        <f t="shared" ref="AK68:AP68" si="54">AK59+AK65+SUM(AK66:AK67)</f>
        <v>2405</v>
      </c>
      <c r="AL68" s="734">
        <f t="shared" si="54"/>
        <v>0</v>
      </c>
      <c r="AM68" s="734">
        <f t="shared" si="54"/>
        <v>0</v>
      </c>
      <c r="AN68" s="734">
        <f t="shared" si="54"/>
        <v>2886</v>
      </c>
      <c r="AO68" s="734">
        <f t="shared" si="54"/>
        <v>0</v>
      </c>
      <c r="AP68" s="734">
        <f t="shared" si="54"/>
        <v>0</v>
      </c>
      <c r="AQ68" s="436"/>
      <c r="AS68" s="735"/>
      <c r="AT68" s="434"/>
      <c r="AU68" s="434" t="str">
        <f>IF(TOT3_4HT=0,"SL","LL")</f>
        <v>LL</v>
      </c>
      <c r="AV68" s="434" t="s">
        <v>277</v>
      </c>
      <c r="AW68" s="483">
        <f t="shared" si="31"/>
        <v>0</v>
      </c>
      <c r="AX68" s="719" t="str">
        <f t="shared" ref="AX68:AX106" si="55">IF(D68&lt;&gt;AR68,"BM,","")</f>
        <v/>
      </c>
      <c r="AY68" s="434" t="str">
        <f t="shared" ref="AY68:AY79" si="56">IF(AND(D68&lt;&gt;"A",E68&lt;&gt;AS68),"TM,","")</f>
        <v/>
      </c>
      <c r="AZ68" s="434" t="str">
        <f t="shared" si="46"/>
        <v/>
      </c>
      <c r="BA68" s="435">
        <f t="shared" ref="BA68:BA94" si="57">J68</f>
        <v>0</v>
      </c>
    </row>
    <row r="69" spans="1:53" ht="14.1" customHeight="1" thickBot="1">
      <c r="B69" s="444"/>
      <c r="C69" s="444"/>
      <c r="D69" s="444"/>
      <c r="E69" s="444"/>
      <c r="F69" s="444"/>
      <c r="G69" s="724"/>
      <c r="H69" s="444"/>
      <c r="I69" s="436"/>
      <c r="J69" s="444"/>
      <c r="K69" s="436"/>
      <c r="L69" s="436"/>
      <c r="M69" s="436"/>
      <c r="N69" s="699"/>
      <c r="O69" s="737" t="s">
        <v>169</v>
      </c>
      <c r="P69" s="726" t="s">
        <v>408</v>
      </c>
      <c r="Q69" s="726"/>
      <c r="R69" s="727"/>
      <c r="S69" s="728">
        <f>TOT3_4HT+TOT1_2HT</f>
        <v>2941</v>
      </c>
      <c r="T69" s="729">
        <f>IF(PR_REV.TOT_HT&lt;&gt;0,TOT1À4HT/PR_REV.TOT_HT,0)</f>
        <v>0.81808066759388043</v>
      </c>
      <c r="U69" s="416">
        <f>U55+U68</f>
        <v>3509</v>
      </c>
      <c r="V69" s="706" t="str">
        <f t="shared" si="19"/>
        <v>. . . . . . . . . . . . . . . . . . . . . . . . . . . . . . . . . . . . . . . . . . . . . . . . . . . . . . . . . . . . . . . . . . . .</v>
      </c>
      <c r="W69" s="509"/>
      <c r="X69" s="403"/>
      <c r="Y69" s="403"/>
      <c r="Z69" s="509"/>
      <c r="AA69" s="509"/>
      <c r="AB69" s="707"/>
      <c r="AC69" s="708" t="s">
        <v>169</v>
      </c>
      <c r="AD69" s="709"/>
      <c r="AE69" s="710"/>
      <c r="AF69" s="710"/>
      <c r="AG69" s="711"/>
      <c r="AK69" s="712">
        <f t="shared" ref="AK69:AP69" si="58">AK68+AK55</f>
        <v>2941</v>
      </c>
      <c r="AL69" s="712">
        <f t="shared" si="58"/>
        <v>0</v>
      </c>
      <c r="AM69" s="712">
        <f t="shared" si="58"/>
        <v>0</v>
      </c>
      <c r="AN69" s="712">
        <f t="shared" si="58"/>
        <v>3508.8</v>
      </c>
      <c r="AO69" s="712">
        <f t="shared" si="58"/>
        <v>0</v>
      </c>
      <c r="AP69" s="712">
        <f t="shared" si="58"/>
        <v>0</v>
      </c>
      <c r="AQ69" s="436"/>
      <c r="AR69" s="532"/>
      <c r="AS69" s="735"/>
      <c r="AU69" s="434" t="s">
        <v>277</v>
      </c>
      <c r="AV69" s="434" t="s">
        <v>277</v>
      </c>
      <c r="AW69" s="483">
        <f t="shared" ref="AW69:AW107" si="59">IF(A69="*",1,0)</f>
        <v>0</v>
      </c>
      <c r="AX69" s="719" t="str">
        <f t="shared" si="55"/>
        <v/>
      </c>
      <c r="AY69" s="434" t="str">
        <f t="shared" si="56"/>
        <v/>
      </c>
      <c r="AZ69" s="434" t="str">
        <f t="shared" si="46"/>
        <v/>
      </c>
      <c r="BA69" s="435">
        <f t="shared" si="57"/>
        <v>0</v>
      </c>
    </row>
    <row r="70" spans="1:53" ht="12.9" customHeight="1">
      <c r="A70" s="696">
        <f t="shared" ref="A70:A82" si="60">IF(OR(ISBLANK(D70),MID(D70,1,1)=" "),IF(OR(ISBLANK(E70),E70=0),,"*"),IF(ISERR(SEARCH(MID(D70,1,1),H70,1)),"*",))</f>
        <v>0</v>
      </c>
      <c r="B70" s="434" t="str">
        <f t="shared" ref="B70:B76" si="61">O70&amp;" "&amp;P70</f>
        <v>420 BET Extérieur</v>
      </c>
      <c r="C70" s="436"/>
      <c r="D70" s="697" t="str">
        <f t="shared" ref="D70:D82" si="62">AR70</f>
        <v>A</v>
      </c>
      <c r="E70" s="698">
        <f>0+15+12+50</f>
        <v>77</v>
      </c>
      <c r="F70" s="894"/>
      <c r="G70" s="895">
        <v>20</v>
      </c>
      <c r="H70" s="434" t="s">
        <v>409</v>
      </c>
      <c r="I70" s="436"/>
      <c r="J70" s="884" t="s">
        <v>589</v>
      </c>
      <c r="K70" s="885"/>
      <c r="L70" s="885"/>
      <c r="M70" s="886"/>
      <c r="N70" s="699"/>
      <c r="O70" s="700">
        <v>420</v>
      </c>
      <c r="P70" s="638" t="s">
        <v>410</v>
      </c>
      <c r="Q70" s="701"/>
      <c r="R70" s="702">
        <f t="shared" ref="R70:R82" si="63">IF(OR(D70="N",D70="P",D70="Q"),INT(E70)&amp;" "&amp;Sigle_Monnaie,IF(D70="A",,E70/100))</f>
        <v>0</v>
      </c>
      <c r="S70" s="703">
        <f t="shared" ref="S70:S82" si="64">IF(OR(ISBLANK(D70),MID(D70,1,1)=" "),,ROUND(IF(SEARCH(MID(D70,1,1),H70,1)&gt;0,IF(OR(D70="N",D70="P",D70="Q"),VLOOKUP(MID(D70,1,1),BASE,3)*E70/1000,VLOOKUP(MID(D70,1,1),BASE,3)*E70/100),),0))</f>
        <v>77</v>
      </c>
      <c r="T70" s="701"/>
      <c r="U70" s="705">
        <f t="shared" ref="U70:U92" si="65">AI70</f>
        <v>92</v>
      </c>
      <c r="V70" s="706" t="str">
        <f t="shared" si="19"/>
        <v>TVA 20BET Béton, VRD, fluides, CCTP/AO/EXE . . . . . . . . . . . . . . . . . . . . . . . . . . . . . . . . . . . . . . . . . . . . . . . . . . . . . . . . . . . . . . . . . . . .</v>
      </c>
      <c r="W70" s="509"/>
      <c r="X70" s="403"/>
      <c r="Y70" s="403"/>
      <c r="Z70" s="509"/>
      <c r="AA70" s="509"/>
      <c r="AB70" s="707"/>
      <c r="AC70" s="708" t="s">
        <v>169</v>
      </c>
      <c r="AD70" s="709" t="s">
        <v>169</v>
      </c>
      <c r="AE70" s="710"/>
      <c r="AF70" s="710"/>
      <c r="AG70" s="736"/>
      <c r="AH70" s="434">
        <f t="shared" ref="AH70:AH82" si="66">1+(G70/100)</f>
        <v>1.2</v>
      </c>
      <c r="AI70" s="443">
        <f t="shared" ref="AI70:AI82" si="67">ROUND(S70*AH70,0)</f>
        <v>92</v>
      </c>
      <c r="AK70" s="443">
        <f t="shared" ref="AK70:AK82" si="68">IF(OR(ISBLANK(D70),MID(D70,1,1)=" "),,ROUND(IF(SEARCH(MID(D70,1,1),H70,1)&gt;0,VLOOKUP(MID(D70,1,1),BASE,4)*E70/100,),0))</f>
        <v>77</v>
      </c>
      <c r="AL70" s="443">
        <f t="shared" ref="AL70:AL82" si="69">IF(OR(ISBLANK(D70),MID(D70,1,1)=" "),,ROUND(IF(SEARCH(MID(D70,1,1),H70,1)&gt;0,VLOOKUP(MID(D70,1,1),BASE,5)*E70/100,),0))</f>
        <v>0</v>
      </c>
      <c r="AM70" s="443">
        <f t="shared" ref="AM70:AM82" si="70">IF(OR(ISBLANK(D70),MID(D70,1,1)=" "),,ROUND(IF(SEARCH(MID(D70,1,1),H70,1)&gt;0,VLOOKUP(MID(D70,1,1),BASE,6)*E70/100,),0))</f>
        <v>0</v>
      </c>
      <c r="AN70" s="712">
        <f t="shared" ref="AN70:AN82" si="71">AK70*AH70</f>
        <v>92.399999999999991</v>
      </c>
      <c r="AO70" s="712">
        <f t="shared" ref="AO70:AO82" si="72">AL70*AH70</f>
        <v>0</v>
      </c>
      <c r="AP70" s="712">
        <f t="shared" ref="AP70:AP82" si="73">AM70*AH70</f>
        <v>0</v>
      </c>
      <c r="AQ70" s="436"/>
      <c r="AR70" s="716" t="s">
        <v>246</v>
      </c>
      <c r="AS70" s="717">
        <v>0</v>
      </c>
      <c r="AT70" s="434">
        <v>19.600000000000001</v>
      </c>
      <c r="AU70" s="434" t="str">
        <f t="shared" ref="AU70:AU82" si="74">IF(S70=0,"SL","LL")</f>
        <v>LL</v>
      </c>
      <c r="AV70" s="434" t="s">
        <v>277</v>
      </c>
      <c r="AW70" s="483">
        <f t="shared" si="59"/>
        <v>0</v>
      </c>
      <c r="AX70" s="719" t="str">
        <f t="shared" si="55"/>
        <v/>
      </c>
      <c r="AY70" s="434" t="str">
        <f t="shared" si="56"/>
        <v/>
      </c>
      <c r="AZ70" s="434" t="str">
        <f t="shared" si="46"/>
        <v>TVA 20</v>
      </c>
      <c r="BA70" s="435" t="str">
        <f t="shared" si="57"/>
        <v>BET Béton, VRD, fluides, CCTP/AO/EXE</v>
      </c>
    </row>
    <row r="71" spans="1:53" ht="12.9" customHeight="1">
      <c r="A71" s="696">
        <f t="shared" si="60"/>
        <v>0</v>
      </c>
      <c r="B71" s="434" t="str">
        <f t="shared" si="61"/>
        <v>430 Architecte</v>
      </c>
      <c r="C71" s="436"/>
      <c r="D71" s="697" t="s">
        <v>246</v>
      </c>
      <c r="E71" s="698">
        <v>58</v>
      </c>
      <c r="F71" s="894"/>
      <c r="G71" s="895">
        <v>20</v>
      </c>
      <c r="H71" s="434" t="s">
        <v>411</v>
      </c>
      <c r="I71" s="436"/>
      <c r="J71" s="884"/>
      <c r="K71" s="885"/>
      <c r="L71" s="885"/>
      <c r="M71" s="886"/>
      <c r="N71" s="699"/>
      <c r="O71" s="700">
        <v>430</v>
      </c>
      <c r="P71" s="638" t="s">
        <v>63</v>
      </c>
      <c r="Q71" s="701"/>
      <c r="R71" s="702">
        <f t="shared" si="63"/>
        <v>0</v>
      </c>
      <c r="S71" s="703">
        <f t="shared" si="64"/>
        <v>58</v>
      </c>
      <c r="T71" s="701"/>
      <c r="U71" s="705">
        <f t="shared" si="65"/>
        <v>70</v>
      </c>
      <c r="V71" s="706" t="str">
        <f t="shared" ref="V71:V107" si="75">IF(OR(ISBLANK(BA71),BA71=0),IF(OR(ISBLANK(D71),MID(D71,1,1)=" ",D71="A"),AX71&amp;AY71&amp;AZ71&amp;LIB_BLANC,IF(SEARCH(MID(D71,1,1),D71,1)&gt;0,AX71&amp;AY71&amp;AZ71&amp;VLOOKUP(MID(D71,1,1),BASE,2),)),AX71&amp;AY71&amp;AZ71&amp;BA71&amp;" "&amp;LIB_BLANC)</f>
        <v>BM,TVA 20. . . . . . . . . . . . . . . . . . . . . . . . . . . . . . . . . . . . . . . . . . . . . . . . . . . . . . . . . . . . . . . . . . . .</v>
      </c>
      <c r="W71" s="509"/>
      <c r="X71" s="403"/>
      <c r="Y71" s="403"/>
      <c r="Z71" s="509"/>
      <c r="AA71" s="509"/>
      <c r="AB71" s="707"/>
      <c r="AC71" s="708" t="s">
        <v>169</v>
      </c>
      <c r="AD71" s="709" t="s">
        <v>169</v>
      </c>
      <c r="AE71" s="710"/>
      <c r="AF71" s="710"/>
      <c r="AG71" s="736"/>
      <c r="AH71" s="434">
        <f t="shared" si="66"/>
        <v>1.2</v>
      </c>
      <c r="AI71" s="443">
        <f t="shared" si="67"/>
        <v>70</v>
      </c>
      <c r="AK71" s="443">
        <f t="shared" si="68"/>
        <v>58</v>
      </c>
      <c r="AL71" s="443">
        <f t="shared" si="69"/>
        <v>0</v>
      </c>
      <c r="AM71" s="443">
        <f t="shared" si="70"/>
        <v>0</v>
      </c>
      <c r="AN71" s="712">
        <f t="shared" si="71"/>
        <v>69.599999999999994</v>
      </c>
      <c r="AO71" s="712">
        <f t="shared" si="72"/>
        <v>0</v>
      </c>
      <c r="AP71" s="712">
        <f t="shared" si="73"/>
        <v>0</v>
      </c>
      <c r="AQ71" s="436"/>
      <c r="AR71" s="716" t="s">
        <v>256</v>
      </c>
      <c r="AS71" s="717">
        <v>1</v>
      </c>
      <c r="AT71" s="434">
        <v>19.600000000000001</v>
      </c>
      <c r="AU71" s="434" t="str">
        <f t="shared" si="74"/>
        <v>LL</v>
      </c>
      <c r="AV71" s="434" t="s">
        <v>277</v>
      </c>
      <c r="AW71" s="483">
        <f t="shared" si="59"/>
        <v>0</v>
      </c>
      <c r="AX71" s="719" t="str">
        <f t="shared" si="55"/>
        <v>BM,</v>
      </c>
      <c r="AY71" s="434" t="str">
        <f t="shared" si="56"/>
        <v/>
      </c>
      <c r="AZ71" s="434" t="str">
        <f t="shared" si="46"/>
        <v>TVA 20</v>
      </c>
      <c r="BA71" s="435">
        <f t="shared" si="57"/>
        <v>0</v>
      </c>
    </row>
    <row r="72" spans="1:53" ht="12.9" customHeight="1">
      <c r="A72" s="696">
        <f t="shared" si="60"/>
        <v>0</v>
      </c>
      <c r="B72" s="434" t="str">
        <f>O72&amp;" "&amp;P72</f>
        <v>460 Juridique</v>
      </c>
      <c r="C72" s="436"/>
      <c r="D72" s="697" t="s">
        <v>246</v>
      </c>
      <c r="E72" s="698">
        <v>2</v>
      </c>
      <c r="F72" s="894"/>
      <c r="G72" s="895">
        <f>AT72</f>
        <v>0</v>
      </c>
      <c r="H72" s="434" t="s">
        <v>412</v>
      </c>
      <c r="I72" s="436"/>
      <c r="J72" s="884" t="s">
        <v>538</v>
      </c>
      <c r="K72" s="885"/>
      <c r="L72" s="885"/>
      <c r="M72" s="886"/>
      <c r="N72" s="699"/>
      <c r="O72" s="700">
        <v>460</v>
      </c>
      <c r="P72" s="638" t="s">
        <v>536</v>
      </c>
      <c r="Q72" s="701"/>
      <c r="R72" s="702">
        <f t="shared" si="63"/>
        <v>0</v>
      </c>
      <c r="S72" s="703">
        <f t="shared" si="64"/>
        <v>2</v>
      </c>
      <c r="T72" s="701"/>
      <c r="U72" s="705">
        <f t="shared" si="65"/>
        <v>2</v>
      </c>
      <c r="V72" s="706" t="str">
        <f>IF(OR(ISBLANK(BA72),BA72=0),IF(OR(ISBLANK(D72),MID(D72,1,1)=" ",D72="A"),AX72&amp;AY72&amp;AZ72&amp;LIB_BLANC,IF(SEARCH(MID(D72,1,1),D72,1)&gt;0,AX72&amp;AY72&amp;AZ72&amp;VLOOKUP(MID(D72,1,1),BASE,2),)),AX72&amp;AY72&amp;AZ72&amp;BA72&amp;" "&amp;LIB_BLANC)</f>
        <v>BM,PV TTC . . . . . . . . . . . . . . . . . . . . . . . . . . . . . . . . . . . . . . . . . . . . . . . . . . . . . . . . . . . . . . . . . . . .</v>
      </c>
      <c r="W72" s="509"/>
      <c r="X72" s="403"/>
      <c r="Y72" s="403"/>
      <c r="Z72" s="542">
        <f>IF(D72="H",". . . . . . . . . . . . . . . . .",IF(PVTOT_TTC&lt;&gt;0,$S72/PVTOT_TTC,0))</f>
        <v>4.4483985765124553E-4</v>
      </c>
      <c r="AA72" s="883" t="str">
        <f>IF(D72="H"," . . . . . . . . . . . . . . . . . . . . . . . . . .","DE PV TTC. . . . . . . . . . . . . .")</f>
        <v>DE PV TTC. . . . . . . . . . . . . .</v>
      </c>
      <c r="AB72" s="707"/>
      <c r="AC72" s="708" t="s">
        <v>169</v>
      </c>
      <c r="AD72" s="709" t="s">
        <v>169</v>
      </c>
      <c r="AE72" s="710"/>
      <c r="AF72" s="710"/>
      <c r="AG72" s="736"/>
      <c r="AH72" s="434">
        <f t="shared" si="66"/>
        <v>1</v>
      </c>
      <c r="AI72" s="443">
        <f t="shared" si="67"/>
        <v>2</v>
      </c>
      <c r="AK72" s="443">
        <f t="shared" si="68"/>
        <v>2</v>
      </c>
      <c r="AL72" s="443">
        <f t="shared" si="69"/>
        <v>0</v>
      </c>
      <c r="AM72" s="443">
        <f t="shared" si="70"/>
        <v>0</v>
      </c>
      <c r="AN72" s="712">
        <f t="shared" si="71"/>
        <v>2</v>
      </c>
      <c r="AO72" s="712">
        <f t="shared" si="72"/>
        <v>0</v>
      </c>
      <c r="AP72" s="712">
        <f t="shared" si="73"/>
        <v>0</v>
      </c>
      <c r="AQ72" s="436"/>
      <c r="AR72" s="716" t="s">
        <v>290</v>
      </c>
      <c r="AS72" s="717">
        <v>0.08</v>
      </c>
      <c r="AT72" s="718">
        <v>0</v>
      </c>
      <c r="AU72" s="434" t="str">
        <f t="shared" si="74"/>
        <v>LL</v>
      </c>
      <c r="AV72" s="434" t="s">
        <v>277</v>
      </c>
      <c r="AW72" s="483">
        <f t="shared" si="59"/>
        <v>0</v>
      </c>
      <c r="AX72" s="719" t="str">
        <f t="shared" si="55"/>
        <v>BM,</v>
      </c>
      <c r="AY72" s="434" t="str">
        <f t="shared" si="56"/>
        <v/>
      </c>
      <c r="AZ72" s="434" t="str">
        <f t="shared" si="46"/>
        <v/>
      </c>
      <c r="BA72" s="435" t="str">
        <f t="shared" si="57"/>
        <v>PV TTC</v>
      </c>
    </row>
    <row r="73" spans="1:53" ht="12.9" customHeight="1">
      <c r="A73" s="696">
        <f t="shared" si="60"/>
        <v>0</v>
      </c>
      <c r="B73" s="434" t="str">
        <f t="shared" si="61"/>
        <v>461 Frais Offerts</v>
      </c>
      <c r="C73" s="436"/>
      <c r="D73" s="697" t="str">
        <f t="shared" si="62"/>
        <v>A</v>
      </c>
      <c r="E73" s="698">
        <f>AS73</f>
        <v>0</v>
      </c>
      <c r="F73" s="894"/>
      <c r="G73" s="895">
        <f>AT73</f>
        <v>0</v>
      </c>
      <c r="H73" s="434" t="s">
        <v>412</v>
      </c>
      <c r="I73" s="436"/>
      <c r="J73" s="884"/>
      <c r="K73" s="885"/>
      <c r="L73" s="885"/>
      <c r="M73" s="886"/>
      <c r="N73" s="699"/>
      <c r="O73" s="700">
        <v>461</v>
      </c>
      <c r="P73" s="638" t="s">
        <v>475</v>
      </c>
      <c r="Q73" s="701"/>
      <c r="R73" s="702">
        <f>IF(OR(D73="N",D73="P",D73="Q"),INT(E73)&amp;" "&amp;Sigle_Monnaie,IF(D73="A",,E73/100))</f>
        <v>0</v>
      </c>
      <c r="S73" s="703">
        <f t="shared" si="64"/>
        <v>0</v>
      </c>
      <c r="T73" s="701"/>
      <c r="U73" s="705">
        <f>AI73</f>
        <v>0</v>
      </c>
      <c r="V73" s="706" t="str">
        <f t="shared" si="75"/>
        <v>. . . . . . . . . . . . . . . . . . . . . . . . . . . . . . . . . . . . . . . . . . . . . . . . . . . . . . . . . . . . . . . . . . . .</v>
      </c>
      <c r="W73" s="509"/>
      <c r="X73" s="403"/>
      <c r="Y73" s="403"/>
      <c r="Z73" s="542">
        <f>IF(D73="H",". . . . . . . . . . . . . . . . .",IF(PVTOT_TTC&lt;&gt;0,$S73/PVTOT_TTC,0))</f>
        <v>0</v>
      </c>
      <c r="AA73" s="883" t="str">
        <f>IF(D73="H"," . . . . . . . . . . . . . . . . . . . . . . . . . .","DE PV TTC. . . . . . . . . . . . . .")</f>
        <v>DE PV TTC. . . . . . . . . . . . . .</v>
      </c>
      <c r="AB73" s="707"/>
      <c r="AC73" s="708" t="s">
        <v>169</v>
      </c>
      <c r="AD73" s="709" t="s">
        <v>169</v>
      </c>
      <c r="AE73" s="710"/>
      <c r="AF73" s="710"/>
      <c r="AG73" s="736"/>
      <c r="AH73" s="434">
        <f>1+(G73/100)</f>
        <v>1</v>
      </c>
      <c r="AI73" s="443">
        <f t="shared" si="67"/>
        <v>0</v>
      </c>
      <c r="AK73" s="443">
        <f t="shared" si="68"/>
        <v>0</v>
      </c>
      <c r="AL73" s="443">
        <f t="shared" si="69"/>
        <v>0</v>
      </c>
      <c r="AM73" s="443">
        <f t="shared" si="70"/>
        <v>0</v>
      </c>
      <c r="AN73" s="712">
        <f>AK73*AH73</f>
        <v>0</v>
      </c>
      <c r="AO73" s="712">
        <f>AL73*AH73</f>
        <v>0</v>
      </c>
      <c r="AP73" s="712">
        <f>AM73*AH73</f>
        <v>0</v>
      </c>
      <c r="AQ73" s="436"/>
      <c r="AR73" s="716" t="s">
        <v>246</v>
      </c>
      <c r="AS73" s="717">
        <v>0</v>
      </c>
      <c r="AT73" s="718">
        <v>0</v>
      </c>
      <c r="AU73" s="434" t="str">
        <f>IF(S73=0,"SL","LL")</f>
        <v>SL</v>
      </c>
      <c r="AV73" s="434" t="s">
        <v>277</v>
      </c>
      <c r="AW73" s="483">
        <f>IF(A73="*",1,0)</f>
        <v>0</v>
      </c>
      <c r="AX73" s="719" t="str">
        <f t="shared" si="55"/>
        <v/>
      </c>
      <c r="AY73" s="434" t="str">
        <f t="shared" si="56"/>
        <v/>
      </c>
      <c r="AZ73" s="434" t="str">
        <f t="shared" si="46"/>
        <v/>
      </c>
      <c r="BA73" s="435">
        <f>J73</f>
        <v>0</v>
      </c>
    </row>
    <row r="74" spans="1:53" ht="12.9" customHeight="1">
      <c r="A74" s="696">
        <f>IF(OR(ISBLANK(D74),MID(D74,1,1)=" "),IF(OR(ISBLANK(E74),E74=0),,"*"),IF(ISERR(SEARCH(MID(D74,1,1),H74,1)),"*",))</f>
        <v>0</v>
      </c>
      <c r="B74" s="434" t="str">
        <f>O74&amp;" "&amp;P74</f>
        <v>463 Honoraires CAC</v>
      </c>
      <c r="C74" s="436"/>
      <c r="D74" s="697" t="str">
        <f t="shared" si="62"/>
        <v>H</v>
      </c>
      <c r="E74" s="698">
        <v>0</v>
      </c>
      <c r="F74" s="894"/>
      <c r="G74" s="895">
        <f>AT74</f>
        <v>0</v>
      </c>
      <c r="H74" s="434" t="s">
        <v>412</v>
      </c>
      <c r="I74" s="436"/>
      <c r="J74" s="884" t="s">
        <v>537</v>
      </c>
      <c r="K74" s="885"/>
      <c r="L74" s="885"/>
      <c r="M74" s="886"/>
      <c r="N74" s="699"/>
      <c r="O74" s="700">
        <v>463</v>
      </c>
      <c r="P74" s="638" t="s">
        <v>535</v>
      </c>
      <c r="Q74" s="701"/>
      <c r="R74" s="702">
        <f t="shared" si="63"/>
        <v>0</v>
      </c>
      <c r="S74" s="703">
        <f>IF(OR(ISBLANK(D74),MID(D74,1,1)=" "),,ROUND(IF(SEARCH(MID(D74,1,1),H74,1)&gt;0,IF(OR(D74="N",D74="P",D74="Q"),VLOOKUP(MID(D74,1,1),BASE,3)*E74/1000,VLOOKUP(MID(D74,1,1),BASE,3)*E74/100),),0))</f>
        <v>0</v>
      </c>
      <c r="T74" s="701"/>
      <c r="U74" s="705">
        <f>AI74</f>
        <v>0</v>
      </c>
      <c r="V74" s="706" t="str">
        <f>IF(OR(ISBLANK(BA74),BA74=0),IF(OR(ISBLANK(D74),MID(D74,1,1)=" ",D74="A"),AX74&amp;AY74&amp;AZ74&amp;LIB_BLANC,IF(SEARCH(MID(D74,1,1),D74,1)&gt;0,AX74&amp;AY74&amp;AZ74&amp;VLOOKUP(MID(D74,1,1),BASE,2),)),AX74&amp;AY74&amp;AZ74&amp;BA74&amp;" "&amp;LIB_BLANC)</f>
        <v>TM,PV TTC - 0,22% du CA TTC si SNC . . . . . . . . . . . . . . . . . . . . . . . . . . . . . . . . . . . . . . . . . . . . . . . . . . . . . . . . . . . . . . . . . . . .</v>
      </c>
      <c r="W74" s="509"/>
      <c r="X74" s="403"/>
      <c r="Y74" s="403"/>
      <c r="Z74" s="542" t="str">
        <f>IF(D74="H",". . . . . . . . . . . . . . . . .",IF(PVTOT_TTC&lt;&gt;0,$S74/PVTOT_TTC,0))</f>
        <v>. . . . . . . . . . . . . . . . .</v>
      </c>
      <c r="AA74" s="883" t="str">
        <f>IF(D74="H"," . . . . . . . . . . . . . . . . . . . . . . . . . .","DE PV TTC. . . . . . . . . . . . . .")</f>
        <v xml:space="preserve"> . . . . . . . . . . . . . . . . . . . . . . . . . .</v>
      </c>
      <c r="AB74" s="707"/>
      <c r="AC74" s="708" t="s">
        <v>169</v>
      </c>
      <c r="AD74" s="709" t="s">
        <v>169</v>
      </c>
      <c r="AE74" s="710"/>
      <c r="AF74" s="710"/>
      <c r="AG74" s="736"/>
      <c r="AH74" s="434">
        <f>1+(G74/100)</f>
        <v>1</v>
      </c>
      <c r="AI74" s="443">
        <f>ROUND(S74*AH74,0)</f>
        <v>0</v>
      </c>
      <c r="AK74" s="443">
        <f>IF(OR(ISBLANK(D74),MID(D74,1,1)=" "),,ROUND(IF(SEARCH(MID(D74,1,1),H74,1)&gt;0,VLOOKUP(MID(D74,1,1),BASE,4)*E74/100,),0))</f>
        <v>0</v>
      </c>
      <c r="AL74" s="443">
        <f>IF(OR(ISBLANK(D74),MID(D74,1,1)=" "),,ROUND(IF(SEARCH(MID(D74,1,1),H74,1)&gt;0,VLOOKUP(MID(D74,1,1),BASE,5)*E74/100,),0))</f>
        <v>0</v>
      </c>
      <c r="AM74" s="443">
        <f>IF(OR(ISBLANK(D74),MID(D74,1,1)=" "),,ROUND(IF(SEARCH(MID(D74,1,1),H74,1)&gt;0,VLOOKUP(MID(D74,1,1),BASE,6)*E74/100,),0))</f>
        <v>0</v>
      </c>
      <c r="AN74" s="712">
        <f>AK74*AH74</f>
        <v>0</v>
      </c>
      <c r="AO74" s="712">
        <f>AL74*AH74</f>
        <v>0</v>
      </c>
      <c r="AP74" s="712">
        <f>AM74*AH74</f>
        <v>0</v>
      </c>
      <c r="AQ74" s="436"/>
      <c r="AR74" s="716" t="s">
        <v>290</v>
      </c>
      <c r="AS74" s="717">
        <v>0.12</v>
      </c>
      <c r="AT74" s="718">
        <v>0</v>
      </c>
      <c r="AU74" s="434" t="str">
        <f>IF(S74=0,"SL","LL")</f>
        <v>SL</v>
      </c>
      <c r="AV74" s="434" t="s">
        <v>277</v>
      </c>
      <c r="AW74" s="483">
        <f>IF(A74="*",1,0)</f>
        <v>0</v>
      </c>
      <c r="AX74" s="719" t="str">
        <f>IF(D74&lt;&gt;AR74,"BM,","")</f>
        <v/>
      </c>
      <c r="AY74" s="434" t="str">
        <f>IF(AND(D74&lt;&gt;"A",E74&lt;&gt;AS74),"TM,","")</f>
        <v>TM,</v>
      </c>
      <c r="AZ74" s="434" t="str">
        <f>IF(G74&lt;&gt;AT74,IF(G74=0,"TVA 0,00","TVA "&amp;G74),"")</f>
        <v/>
      </c>
      <c r="BA74" s="435" t="str">
        <f>J74</f>
        <v>PV TTC - 0,22% du CA TTC si SNC</v>
      </c>
    </row>
    <row r="75" spans="1:53" ht="12.9" customHeight="1">
      <c r="A75" s="696">
        <f t="shared" si="60"/>
        <v>0</v>
      </c>
      <c r="B75" s="434" t="str">
        <f t="shared" si="61"/>
        <v>465 Charges de copro.</v>
      </c>
      <c r="C75" s="436"/>
      <c r="D75" s="697" t="str">
        <f t="shared" si="62"/>
        <v>M</v>
      </c>
      <c r="E75" s="698"/>
      <c r="F75" s="894"/>
      <c r="G75" s="895">
        <f>AT75</f>
        <v>0</v>
      </c>
      <c r="H75" s="434" t="s">
        <v>413</v>
      </c>
      <c r="I75" s="436"/>
      <c r="J75" s="884"/>
      <c r="K75" s="885"/>
      <c r="L75" s="885"/>
      <c r="M75" s="886"/>
      <c r="N75" s="699"/>
      <c r="O75" s="700">
        <v>465</v>
      </c>
      <c r="P75" s="638" t="s">
        <v>414</v>
      </c>
      <c r="Q75" s="701"/>
      <c r="R75" s="702">
        <f t="shared" si="63"/>
        <v>0</v>
      </c>
      <c r="S75" s="703">
        <f t="shared" si="64"/>
        <v>0</v>
      </c>
      <c r="T75" s="701"/>
      <c r="U75" s="705">
        <f t="shared" si="65"/>
        <v>0</v>
      </c>
      <c r="V75" s="706" t="str">
        <f t="shared" si="75"/>
        <v>TM,PV HT . . . . . . . . . . . . . . . . . . . . . . . . . . . . . . . . . . . . . . . . . . . . . . . . . . . . . . . . . . . . . .</v>
      </c>
      <c r="W75" s="509"/>
      <c r="X75" s="403"/>
      <c r="Y75" s="403"/>
      <c r="Z75" s="509"/>
      <c r="AA75" s="509"/>
      <c r="AB75" s="707"/>
      <c r="AC75" s="708" t="s">
        <v>169</v>
      </c>
      <c r="AD75" s="709" t="s">
        <v>169</v>
      </c>
      <c r="AE75" s="710"/>
      <c r="AF75" s="710"/>
      <c r="AG75" s="736"/>
      <c r="AH75" s="434">
        <f t="shared" si="66"/>
        <v>1</v>
      </c>
      <c r="AI75" s="443">
        <f t="shared" si="67"/>
        <v>0</v>
      </c>
      <c r="AK75" s="443">
        <f t="shared" si="68"/>
        <v>0</v>
      </c>
      <c r="AL75" s="443">
        <f t="shared" si="69"/>
        <v>0</v>
      </c>
      <c r="AM75" s="443">
        <f t="shared" si="70"/>
        <v>0</v>
      </c>
      <c r="AN75" s="712">
        <f t="shared" si="71"/>
        <v>0</v>
      </c>
      <c r="AO75" s="712">
        <f t="shared" si="72"/>
        <v>0</v>
      </c>
      <c r="AP75" s="712">
        <f t="shared" si="73"/>
        <v>0</v>
      </c>
      <c r="AQ75" s="436"/>
      <c r="AR75" s="716" t="s">
        <v>308</v>
      </c>
      <c r="AS75" s="717">
        <v>0.3</v>
      </c>
      <c r="AT75" s="718">
        <v>0</v>
      </c>
      <c r="AU75" s="434" t="str">
        <f t="shared" si="74"/>
        <v>SL</v>
      </c>
      <c r="AV75" s="434" t="s">
        <v>277</v>
      </c>
      <c r="AW75" s="483">
        <f t="shared" si="59"/>
        <v>0</v>
      </c>
      <c r="AX75" s="719" t="str">
        <f t="shared" si="55"/>
        <v/>
      </c>
      <c r="AY75" s="434" t="str">
        <f t="shared" si="56"/>
        <v>TM,</v>
      </c>
      <c r="AZ75" s="434" t="str">
        <f t="shared" si="46"/>
        <v/>
      </c>
      <c r="BA75" s="435">
        <f t="shared" si="57"/>
        <v>0</v>
      </c>
    </row>
    <row r="76" spans="1:53" ht="12.9" customHeight="1">
      <c r="A76" s="696">
        <f t="shared" si="60"/>
        <v>0</v>
      </c>
      <c r="B76" s="434" t="str">
        <f t="shared" si="61"/>
        <v>470 Contrôle technique</v>
      </c>
      <c r="C76" s="436"/>
      <c r="D76" s="697" t="s">
        <v>246</v>
      </c>
      <c r="E76" s="698">
        <v>14</v>
      </c>
      <c r="F76" s="894"/>
      <c r="G76" s="895">
        <v>20</v>
      </c>
      <c r="H76" s="434" t="s">
        <v>415</v>
      </c>
      <c r="I76" s="436"/>
      <c r="J76" s="884"/>
      <c r="K76" s="885"/>
      <c r="L76" s="885"/>
      <c r="M76" s="886"/>
      <c r="N76" s="699"/>
      <c r="O76" s="700">
        <v>470</v>
      </c>
      <c r="P76" s="638" t="s">
        <v>416</v>
      </c>
      <c r="Q76" s="701"/>
      <c r="R76" s="702">
        <f t="shared" si="63"/>
        <v>0</v>
      </c>
      <c r="S76" s="703">
        <f t="shared" si="64"/>
        <v>14</v>
      </c>
      <c r="T76" s="701"/>
      <c r="U76" s="705">
        <f t="shared" si="65"/>
        <v>17</v>
      </c>
      <c r="V76" s="706" t="str">
        <f t="shared" si="75"/>
        <v>BM,TVA 20. . . . . . . . . . . . . . . . . . . . . . . . . . . . . . . . . . . . . . . . . . . . . . . . . . . . . . . . . . . . . . . . . . . .</v>
      </c>
      <c r="W76" s="509"/>
      <c r="X76" s="403"/>
      <c r="Y76" s="403"/>
      <c r="Z76" s="509"/>
      <c r="AA76" s="509"/>
      <c r="AB76" s="707"/>
      <c r="AC76" s="708" t="s">
        <v>169</v>
      </c>
      <c r="AD76" s="709" t="s">
        <v>169</v>
      </c>
      <c r="AE76" s="710"/>
      <c r="AF76" s="710"/>
      <c r="AG76" s="736"/>
      <c r="AH76" s="434">
        <f t="shared" si="66"/>
        <v>1.2</v>
      </c>
      <c r="AI76" s="443">
        <f t="shared" si="67"/>
        <v>17</v>
      </c>
      <c r="AK76" s="443">
        <f t="shared" si="68"/>
        <v>14</v>
      </c>
      <c r="AL76" s="443">
        <f t="shared" si="69"/>
        <v>0</v>
      </c>
      <c r="AM76" s="443">
        <f t="shared" si="70"/>
        <v>0</v>
      </c>
      <c r="AN76" s="712">
        <f t="shared" si="71"/>
        <v>16.8</v>
      </c>
      <c r="AO76" s="712">
        <f t="shared" si="72"/>
        <v>0</v>
      </c>
      <c r="AP76" s="712">
        <f t="shared" si="73"/>
        <v>0</v>
      </c>
      <c r="AQ76" s="436"/>
      <c r="AR76" s="716" t="s">
        <v>269</v>
      </c>
      <c r="AS76" s="717">
        <v>0.6</v>
      </c>
      <c r="AT76" s="434">
        <v>19.600000000000001</v>
      </c>
      <c r="AU76" s="434" t="str">
        <f t="shared" si="74"/>
        <v>LL</v>
      </c>
      <c r="AV76" s="434" t="s">
        <v>277</v>
      </c>
      <c r="AW76" s="483">
        <f t="shared" si="59"/>
        <v>0</v>
      </c>
      <c r="AX76" s="719" t="str">
        <f t="shared" si="55"/>
        <v>BM,</v>
      </c>
      <c r="AY76" s="434" t="str">
        <f t="shared" si="56"/>
        <v/>
      </c>
      <c r="AZ76" s="434" t="str">
        <f t="shared" si="46"/>
        <v>TVA 20</v>
      </c>
      <c r="BA76" s="435">
        <f t="shared" si="57"/>
        <v>0</v>
      </c>
    </row>
    <row r="77" spans="1:53" ht="12.9" customHeight="1">
      <c r="A77" s="696">
        <f t="shared" si="60"/>
        <v>0</v>
      </c>
      <c r="B77" s="434" t="s">
        <v>417</v>
      </c>
      <c r="C77" s="436"/>
      <c r="D77" s="697" t="s">
        <v>246</v>
      </c>
      <c r="E77" s="698">
        <v>6</v>
      </c>
      <c r="F77" s="894"/>
      <c r="G77" s="895">
        <v>20</v>
      </c>
      <c r="H77" s="434" t="s">
        <v>490</v>
      </c>
      <c r="I77" s="436"/>
      <c r="J77" s="884"/>
      <c r="K77" s="885"/>
      <c r="L77" s="885"/>
      <c r="M77" s="886"/>
      <c r="N77" s="699"/>
      <c r="O77" s="700">
        <v>475</v>
      </c>
      <c r="P77" s="638" t="s">
        <v>80</v>
      </c>
      <c r="Q77" s="701"/>
      <c r="R77" s="702">
        <f t="shared" si="63"/>
        <v>0</v>
      </c>
      <c r="S77" s="703">
        <f t="shared" si="64"/>
        <v>6</v>
      </c>
      <c r="T77" s="701"/>
      <c r="U77" s="705">
        <f t="shared" si="65"/>
        <v>7</v>
      </c>
      <c r="V77" s="706" t="str">
        <f t="shared" si="75"/>
        <v>BM,TVA 20. . . . . . . . . . . . . . . . . . . . . . . . . . . . . . . . . . . . . . . . . . . . . . . . . . . . . . . . . . . . . . . . . . . .</v>
      </c>
      <c r="W77" s="509"/>
      <c r="X77" s="403"/>
      <c r="Y77" s="403"/>
      <c r="Z77" s="509"/>
      <c r="AA77" s="509"/>
      <c r="AB77" s="707"/>
      <c r="AC77" s="708" t="s">
        <v>169</v>
      </c>
      <c r="AD77" s="709" t="s">
        <v>169</v>
      </c>
      <c r="AE77" s="710"/>
      <c r="AF77" s="710"/>
      <c r="AG77" s="736"/>
      <c r="AH77" s="434">
        <f t="shared" si="66"/>
        <v>1.2</v>
      </c>
      <c r="AI77" s="443">
        <f t="shared" si="67"/>
        <v>7</v>
      </c>
      <c r="AK77" s="443">
        <f t="shared" si="68"/>
        <v>6</v>
      </c>
      <c r="AL77" s="443">
        <f t="shared" si="69"/>
        <v>0</v>
      </c>
      <c r="AM77" s="443">
        <f t="shared" si="70"/>
        <v>0</v>
      </c>
      <c r="AN77" s="712">
        <f t="shared" si="71"/>
        <v>7.1999999999999993</v>
      </c>
      <c r="AO77" s="712">
        <f t="shared" si="72"/>
        <v>0</v>
      </c>
      <c r="AP77" s="712">
        <f t="shared" si="73"/>
        <v>0</v>
      </c>
      <c r="AQ77" s="436"/>
      <c r="AR77" s="716" t="s">
        <v>269</v>
      </c>
      <c r="AS77" s="717">
        <v>0.7</v>
      </c>
      <c r="AT77" s="434">
        <v>19.600000000000001</v>
      </c>
      <c r="AU77" s="434" t="str">
        <f t="shared" si="74"/>
        <v>LL</v>
      </c>
      <c r="AV77" s="434" t="s">
        <v>277</v>
      </c>
      <c r="AW77" s="483">
        <f t="shared" si="59"/>
        <v>0</v>
      </c>
      <c r="AX77" s="719" t="str">
        <f t="shared" si="55"/>
        <v>BM,</v>
      </c>
      <c r="AY77" s="434" t="str">
        <f t="shared" si="56"/>
        <v/>
      </c>
      <c r="AZ77" s="434" t="str">
        <f t="shared" si="46"/>
        <v>TVA 20</v>
      </c>
      <c r="BA77" s="435">
        <f t="shared" si="57"/>
        <v>0</v>
      </c>
    </row>
    <row r="78" spans="1:53" ht="12.9" customHeight="1">
      <c r="A78" s="696">
        <f t="shared" si="60"/>
        <v>0</v>
      </c>
      <c r="B78" s="434" t="str">
        <f>O78&amp;" "&amp;P78</f>
        <v>480 Dommage ouvrage</v>
      </c>
      <c r="C78" s="436"/>
      <c r="D78" s="697" t="str">
        <f t="shared" si="62"/>
        <v>F</v>
      </c>
      <c r="E78" s="698">
        <v>1.6</v>
      </c>
      <c r="F78" s="894"/>
      <c r="G78" s="895">
        <v>20</v>
      </c>
      <c r="H78" s="434" t="s">
        <v>519</v>
      </c>
      <c r="I78" s="436"/>
      <c r="J78" s="884"/>
      <c r="K78" s="885"/>
      <c r="L78" s="885"/>
      <c r="M78" s="886"/>
      <c r="N78" s="699"/>
      <c r="O78" s="700">
        <v>480</v>
      </c>
      <c r="P78" s="638" t="s">
        <v>78</v>
      </c>
      <c r="Q78" s="701"/>
      <c r="R78" s="702">
        <f t="shared" si="63"/>
        <v>1.6E-2</v>
      </c>
      <c r="S78" s="703">
        <f>IF(D78="V",AO33,IF(OR(ISBLANK(D78),MID(D78,1,1)=" "),,ROUND(IF(SEARCH(MID(D78,1,1),H78,1)&gt;0,IF(OR(D78="N",D78="P",D78="Q"),VLOOKUP(MID(D78,1,1),BASE,3)*E78/1000,VLOOKUP(MID(D78,1,1),BASE,3)*E78/100),),0)))</f>
        <v>49</v>
      </c>
      <c r="T78" s="701"/>
      <c r="U78" s="705">
        <f t="shared" si="65"/>
        <v>59</v>
      </c>
      <c r="V78" s="706" t="str">
        <f>IF(OR(ISBLANK(BA78),BA78=0),IF(OR(ISBLANK(D78),MID(D78,1,1)=" ",D78="A"),AX78&amp;AY78&amp;AZ78&amp;LIB_BLANC,IF(SEARCH(MID(D78,1,1),D78,1)&gt;0,AX78&amp;AY78&amp;AZ78&amp;VLOOKUP(MID(D78,1,1),BASE,2),)),AX78&amp;AY78&amp;AZ78&amp;BA78&amp;" "&amp;LIB_BLANC)</f>
        <v>TM,TVA 20(3 + 4 + 420+430+440+441+475) TTC. . . . . . . . . . . . . . . . . . . . . . . . . . . . . . . . . . . . . . . . . . . .</v>
      </c>
      <c r="W78" s="509"/>
      <c r="X78" s="403"/>
      <c r="Y78" s="403"/>
      <c r="Z78" s="509"/>
      <c r="AA78" s="509"/>
      <c r="AB78" s="707"/>
      <c r="AC78" s="708" t="s">
        <v>169</v>
      </c>
      <c r="AD78" s="709" t="s">
        <v>169</v>
      </c>
      <c r="AE78" s="710"/>
      <c r="AF78" s="710"/>
      <c r="AG78" s="736"/>
      <c r="AH78" s="434">
        <f t="shared" si="66"/>
        <v>1.2</v>
      </c>
      <c r="AI78" s="443">
        <f t="shared" si="67"/>
        <v>59</v>
      </c>
      <c r="AK78" s="443">
        <f t="shared" si="68"/>
        <v>49</v>
      </c>
      <c r="AL78" s="443">
        <f t="shared" si="69"/>
        <v>0</v>
      </c>
      <c r="AM78" s="443">
        <f t="shared" si="70"/>
        <v>0</v>
      </c>
      <c r="AN78" s="712">
        <f t="shared" si="71"/>
        <v>58.8</v>
      </c>
      <c r="AO78" s="712">
        <f t="shared" si="72"/>
        <v>0</v>
      </c>
      <c r="AP78" s="712">
        <f t="shared" si="73"/>
        <v>0</v>
      </c>
      <c r="AQ78" s="436"/>
      <c r="AR78" s="716" t="s">
        <v>280</v>
      </c>
      <c r="AS78" s="717">
        <v>1.22</v>
      </c>
      <c r="AT78" s="718">
        <v>0</v>
      </c>
      <c r="AU78" s="434" t="str">
        <f t="shared" si="74"/>
        <v>LL</v>
      </c>
      <c r="AV78" s="434" t="s">
        <v>277</v>
      </c>
      <c r="AW78" s="483">
        <f t="shared" si="59"/>
        <v>0</v>
      </c>
      <c r="AX78" s="719" t="str">
        <f t="shared" si="55"/>
        <v/>
      </c>
      <c r="AY78" s="434" t="str">
        <f t="shared" si="56"/>
        <v>TM,</v>
      </c>
      <c r="AZ78" s="434" t="str">
        <f t="shared" si="46"/>
        <v>TVA 20</v>
      </c>
      <c r="BA78" s="435">
        <f t="shared" si="57"/>
        <v>0</v>
      </c>
    </row>
    <row r="79" spans="1:53" ht="12.9" customHeight="1">
      <c r="A79" s="696">
        <f t="shared" si="60"/>
        <v>0</v>
      </c>
      <c r="B79" s="434" t="str">
        <f>O79&amp;" "&amp;P79</f>
        <v>490 Responsabilité civile</v>
      </c>
      <c r="C79" s="436"/>
      <c r="D79" s="697" t="str">
        <f t="shared" si="62"/>
        <v>F</v>
      </c>
      <c r="E79" s="698"/>
      <c r="F79" s="894"/>
      <c r="G79" s="895">
        <v>20</v>
      </c>
      <c r="H79" s="434" t="s">
        <v>489</v>
      </c>
      <c r="I79" s="436"/>
      <c r="J79" s="884"/>
      <c r="K79" s="885"/>
      <c r="L79" s="885"/>
      <c r="M79" s="886"/>
      <c r="N79" s="699"/>
      <c r="O79" s="700">
        <v>490</v>
      </c>
      <c r="P79" s="638" t="s">
        <v>79</v>
      </c>
      <c r="Q79" s="701"/>
      <c r="R79" s="702">
        <f t="shared" si="63"/>
        <v>0</v>
      </c>
      <c r="S79" s="703">
        <f t="shared" si="64"/>
        <v>0</v>
      </c>
      <c r="T79" s="701"/>
      <c r="U79" s="705">
        <f t="shared" si="65"/>
        <v>0</v>
      </c>
      <c r="V79" s="706" t="str">
        <f t="shared" si="75"/>
        <v>TM,TVA 20(3 + 4 + 420+430+440+441+475) TTC. . . . . . . . . . . . . . . . . . . . . . . . . . . . . . . . . . . . . . . . . . . .</v>
      </c>
      <c r="W79" s="509"/>
      <c r="X79" s="403"/>
      <c r="Y79" s="403"/>
      <c r="Z79" s="509"/>
      <c r="AA79" s="509"/>
      <c r="AB79" s="707"/>
      <c r="AC79" s="708" t="s">
        <v>169</v>
      </c>
      <c r="AD79" s="709" t="s">
        <v>169</v>
      </c>
      <c r="AE79" s="710"/>
      <c r="AF79" s="710"/>
      <c r="AG79" s="736"/>
      <c r="AH79" s="434">
        <f t="shared" si="66"/>
        <v>1.2</v>
      </c>
      <c r="AI79" s="443">
        <f t="shared" si="67"/>
        <v>0</v>
      </c>
      <c r="AK79" s="443">
        <f t="shared" si="68"/>
        <v>0</v>
      </c>
      <c r="AL79" s="443">
        <f t="shared" si="69"/>
        <v>0</v>
      </c>
      <c r="AM79" s="443">
        <f t="shared" si="70"/>
        <v>0</v>
      </c>
      <c r="AN79" s="712">
        <f t="shared" si="71"/>
        <v>0</v>
      </c>
      <c r="AO79" s="712">
        <f t="shared" si="72"/>
        <v>0</v>
      </c>
      <c r="AP79" s="712">
        <f t="shared" si="73"/>
        <v>0</v>
      </c>
      <c r="AQ79" s="436"/>
      <c r="AR79" s="716" t="s">
        <v>280</v>
      </c>
      <c r="AS79" s="717">
        <v>0.15</v>
      </c>
      <c r="AT79" s="718">
        <v>0</v>
      </c>
      <c r="AU79" s="434" t="str">
        <f t="shared" si="74"/>
        <v>SL</v>
      </c>
      <c r="AV79" s="434" t="s">
        <v>277</v>
      </c>
      <c r="AW79" s="483">
        <f t="shared" si="59"/>
        <v>0</v>
      </c>
      <c r="AX79" s="719" t="str">
        <f t="shared" si="55"/>
        <v/>
      </c>
      <c r="AY79" s="434" t="str">
        <f t="shared" si="56"/>
        <v>TM,</v>
      </c>
      <c r="AZ79" s="434" t="str">
        <f t="shared" si="46"/>
        <v>TVA 20</v>
      </c>
      <c r="BA79" s="435">
        <f t="shared" si="57"/>
        <v>0</v>
      </c>
    </row>
    <row r="80" spans="1:53" ht="12.9" customHeight="1">
      <c r="A80" s="696">
        <f>IF(OR(ISBLANK(D80),MID(D80,1,1)=" "),IF(OR(ISBLANK(E80),E80=0),,"*"),IF(ISERR(SEARCH(MID(D80,1,1),H80,1)),"*",))</f>
        <v>0</v>
      </c>
      <c r="B80" s="434" t="str">
        <f>O80&amp;" "&amp;P80</f>
        <v>466 Garantie Locative</v>
      </c>
      <c r="C80" s="436"/>
      <c r="D80" s="678" t="str">
        <f t="shared" si="62"/>
        <v>A</v>
      </c>
      <c r="E80" s="1012">
        <f>AS80</f>
        <v>0</v>
      </c>
      <c r="F80" s="1013"/>
      <c r="G80" s="1014"/>
      <c r="H80" s="434" t="s">
        <v>246</v>
      </c>
      <c r="I80" s="436"/>
      <c r="J80" s="1015" t="str">
        <f>CONCATENATE(F134," x ",E136*100,"% x ",H136,"k€"," x ",I136*100,"%"," x ",P136,"% (Cf Annexes)")</f>
        <v>0 x 0% x k€ x 0% x 0,7% (Cf Annexes)</v>
      </c>
      <c r="K80" s="1016"/>
      <c r="L80" s="1016"/>
      <c r="M80" s="1017"/>
      <c r="N80" s="699"/>
      <c r="O80" s="700">
        <v>466</v>
      </c>
      <c r="P80" s="638" t="s">
        <v>558</v>
      </c>
      <c r="Q80" s="701"/>
      <c r="R80" s="702">
        <f>IF(OR(D80="N",D80="P",D80="Q"),INT(E80)&amp;" "&amp;Sigle_Monnaie,IF(D80="A",,E80/100))</f>
        <v>0</v>
      </c>
      <c r="S80" s="703">
        <f>IF(OR(ISBLANK(D80),MID(D80,1,1)=" "),,ROUND(IF(SEARCH(MID(D80,1,1),H80,1)&gt;0,IF(OR(D80="N",D80="P",D80="Q"),VLOOKUP(MID(D80,1,1),BASE,3)*E80/1000,VLOOKUP(MID(D80,1,1),BASE,3)*E80/100),),0))</f>
        <v>0</v>
      </c>
      <c r="T80" s="701"/>
      <c r="U80" s="705">
        <f>AI80</f>
        <v>0</v>
      </c>
      <c r="V80" s="706" t="str">
        <f>IF(OR(ISBLANK(BA80),BA80=0),IF(OR(ISBLANK(D80),MID(D80,1,1)=" ",D80="A"),AX80&amp;AY80&amp;AZ80&amp;LIB_BLANC,IF(SEARCH(MID(D80,1,1),D80,1)&gt;0,AX80&amp;AY80&amp;AZ80&amp;VLOOKUP(MID(D80,1,1),BASE,2),)),AX80&amp;AY80&amp;AZ80&amp;BA80&amp;" "&amp;LIB_BLANC)</f>
        <v>0 x 0% x k€ x 0% x 0,7% (Cf Annexes) . . . . . . . . . . . . . . . . . . . . . . . . . . . . . . . . . . . . . . . . . . . . . . . . . . . . . . . . . . . . . . . . . . . .</v>
      </c>
      <c r="W80" s="509"/>
      <c r="X80" s="403"/>
      <c r="Y80" s="403"/>
      <c r="Z80" s="509"/>
      <c r="AA80" s="509"/>
      <c r="AB80" s="707"/>
      <c r="AC80" s="708" t="s">
        <v>169</v>
      </c>
      <c r="AD80" s="709" t="s">
        <v>169</v>
      </c>
      <c r="AE80" s="710"/>
      <c r="AF80" s="710"/>
      <c r="AG80" s="736"/>
      <c r="AH80" s="434">
        <f>1+(G80/100)</f>
        <v>1</v>
      </c>
      <c r="AI80" s="443">
        <f>ROUND(S80*AH80,0)</f>
        <v>0</v>
      </c>
      <c r="AK80" s="443">
        <f>IF(OR(ISBLANK(D80),MID(D80,1,1)=" "),,ROUND(IF(SEARCH(MID(D80,1,1),H80,1)&gt;0,VLOOKUP(MID(D80,1,1),BASE,4)*E80/100,),0))</f>
        <v>0</v>
      </c>
      <c r="AL80" s="443">
        <f>IF(OR(ISBLANK(D80),MID(D80,1,1)=" "),,ROUND(IF(SEARCH(MID(D80,1,1),H80,1)&gt;0,VLOOKUP(MID(D80,1,1),BASE,5)*E80/100,),0))</f>
        <v>0</v>
      </c>
      <c r="AM80" s="443">
        <f>IF(OR(ISBLANK(D80),MID(D80,1,1)=" "),,ROUND(IF(SEARCH(MID(D80,1,1),H80,1)&gt;0,VLOOKUP(MID(D80,1,1),BASE,6)*E80/100,),0))</f>
        <v>0</v>
      </c>
      <c r="AN80" s="712">
        <f>AK80*AH80</f>
        <v>0</v>
      </c>
      <c r="AO80" s="712">
        <f>AL80*AH80</f>
        <v>0</v>
      </c>
      <c r="AP80" s="712">
        <f>AM80*AH80</f>
        <v>0</v>
      </c>
      <c r="AQ80" s="436"/>
      <c r="AR80" s="716" t="s">
        <v>246</v>
      </c>
      <c r="AS80" s="717">
        <f>Q136/1000</f>
        <v>0</v>
      </c>
      <c r="AU80" s="434" t="str">
        <f>IF(S80=0,"SL","LL")</f>
        <v>SL</v>
      </c>
      <c r="AV80" s="434" t="s">
        <v>277</v>
      </c>
      <c r="AW80" s="483">
        <f>IF(A80="*",1,0)</f>
        <v>0</v>
      </c>
      <c r="AX80" s="719" t="str">
        <f>IF(D80&lt;&gt;AR80,"BM,","")</f>
        <v/>
      </c>
      <c r="AY80" s="434" t="str">
        <f>IF(AND(D80&lt;&gt;"A",E80&lt;&gt;AS80),"TM,","")</f>
        <v/>
      </c>
      <c r="AZ80" s="434" t="str">
        <f>IF(G80&lt;&gt;AT80,IF(G80=0,"TVA 0,00","TVA "&amp;G80),"")</f>
        <v/>
      </c>
      <c r="BA80" s="435" t="str">
        <f>J80</f>
        <v>0 x 0% x k€ x 0% x 0,7% (Cf Annexes)</v>
      </c>
    </row>
    <row r="81" spans="1:53" ht="12.9" customHeight="1">
      <c r="A81" s="696">
        <f>IF(OR(ISBLANK(D81),MID(D81,1,1)=" "),IF(OR(ISBLANK(E81),E81=0),,"*"),IF(ISERR(SEARCH(MID(D81,1,1),H81,1)),"*",))</f>
        <v>0</v>
      </c>
      <c r="B81" s="434" t="str">
        <f>O81&amp;" "&amp;P81</f>
        <v>467 Protection Revente</v>
      </c>
      <c r="C81" s="436"/>
      <c r="D81" s="678" t="str">
        <f>AR81</f>
        <v>A</v>
      </c>
      <c r="E81" s="1012">
        <f>AS81</f>
        <v>0</v>
      </c>
      <c r="F81" s="1013"/>
      <c r="G81" s="1014">
        <f>AT81</f>
        <v>19.600000000000001</v>
      </c>
      <c r="H81" s="434" t="s">
        <v>246</v>
      </c>
      <c r="I81" s="436"/>
      <c r="J81" s="1015" t="str">
        <f>CONCATENATE(F134," x ",E135*100,"% x ",P135,"€ (Cf Annexes)")</f>
        <v>0 x 0% x 485€ (Cf Annexes)</v>
      </c>
      <c r="K81" s="1016"/>
      <c r="L81" s="1016"/>
      <c r="M81" s="1017"/>
      <c r="N81" s="699"/>
      <c r="O81" s="700">
        <v>467</v>
      </c>
      <c r="P81" s="638" t="s">
        <v>559</v>
      </c>
      <c r="Q81" s="701"/>
      <c r="R81" s="702">
        <f>IF(OR(D81="N",D81="P",D81="Q"),INT(E81)&amp;" "&amp;Sigle_Monnaie,IF(D81="A",,E81/100))</f>
        <v>0</v>
      </c>
      <c r="S81" s="703">
        <f>IF(OR(ISBLANK(D81),MID(D81,1,1)=" "),,ROUND(IF(SEARCH(MID(D81,1,1),H81,1)&gt;0,IF(OR(D81="N",D81="P",D81="Q"),VLOOKUP(MID(D81,1,1),BASE,3)*E81/1000,VLOOKUP(MID(D81,1,1),BASE,3)*E81/100),),0))</f>
        <v>0</v>
      </c>
      <c r="T81" s="701"/>
      <c r="U81" s="705">
        <f>AI81</f>
        <v>0</v>
      </c>
      <c r="V81" s="706" t="str">
        <f>IF(OR(ISBLANK(BA81),BA81=0),IF(OR(ISBLANK(D81),MID(D81,1,1)=" ",D81="A"),AX81&amp;AY81&amp;AZ81&amp;LIB_BLANC,IF(SEARCH(MID(D81,1,1),D81,1)&gt;0,AX81&amp;AY81&amp;AZ81&amp;VLOOKUP(MID(D81,1,1),BASE,2),)),AX81&amp;AY81&amp;AZ81&amp;BA81&amp;" "&amp;LIB_BLANC)</f>
        <v>0 x 0% x 485€ (Cf Annexes) . . . . . . . . . . . . . . . . . . . . . . . . . . . . . . . . . . . . . . . . . . . . . . . . . . . . . . . . . . . . . . . . . . . .</v>
      </c>
      <c r="W81" s="509"/>
      <c r="X81" s="403"/>
      <c r="Y81" s="403"/>
      <c r="Z81" s="509"/>
      <c r="AA81" s="509"/>
      <c r="AB81" s="707"/>
      <c r="AC81" s="708" t="s">
        <v>169</v>
      </c>
      <c r="AD81" s="709" t="s">
        <v>169</v>
      </c>
      <c r="AE81" s="710"/>
      <c r="AF81" s="710"/>
      <c r="AG81" s="736"/>
      <c r="AH81" s="434">
        <f>1+(G81/100)</f>
        <v>1.196</v>
      </c>
      <c r="AI81" s="443">
        <f>ROUND(S81*AH81,0)</f>
        <v>0</v>
      </c>
      <c r="AK81" s="443">
        <f>IF(OR(ISBLANK(D81),MID(D81,1,1)=" "),,ROUND(IF(SEARCH(MID(D81,1,1),H81,1)&gt;0,VLOOKUP(MID(D81,1,1),BASE,4)*E81/100,),0))</f>
        <v>0</v>
      </c>
      <c r="AL81" s="443">
        <f>IF(OR(ISBLANK(D81),MID(D81,1,1)=" "),,ROUND(IF(SEARCH(MID(D81,1,1),H81,1)&gt;0,VLOOKUP(MID(D81,1,1),BASE,5)*E81/100,),0))</f>
        <v>0</v>
      </c>
      <c r="AM81" s="443">
        <f>IF(OR(ISBLANK(D81),MID(D81,1,1)=" "),,ROUND(IF(SEARCH(MID(D81,1,1),H81,1)&gt;0,VLOOKUP(MID(D81,1,1),BASE,6)*E81/100,),0))</f>
        <v>0</v>
      </c>
      <c r="AN81" s="712">
        <f>AK81*AH81</f>
        <v>0</v>
      </c>
      <c r="AO81" s="712">
        <f>AL81*AH81</f>
        <v>0</v>
      </c>
      <c r="AP81" s="712">
        <f>AM81*AH81</f>
        <v>0</v>
      </c>
      <c r="AQ81" s="436"/>
      <c r="AR81" s="716" t="s">
        <v>246</v>
      </c>
      <c r="AS81" s="717">
        <f>Q135/1000</f>
        <v>0</v>
      </c>
      <c r="AT81" s="434">
        <v>19.600000000000001</v>
      </c>
      <c r="AU81" s="434" t="str">
        <f>IF(S81=0,"SL","LL")</f>
        <v>SL</v>
      </c>
      <c r="AV81" s="434" t="s">
        <v>277</v>
      </c>
      <c r="AW81" s="483">
        <f>IF(A81="*",1,0)</f>
        <v>0</v>
      </c>
      <c r="AX81" s="719" t="str">
        <f>IF(D81&lt;&gt;AR81,"BM,","")</f>
        <v/>
      </c>
      <c r="AY81" s="434" t="str">
        <f>IF(AND(D81&lt;&gt;"A",E81&lt;&gt;AS81),"TM,","")</f>
        <v/>
      </c>
      <c r="AZ81" s="434" t="str">
        <f>IF(G81&lt;&gt;AT81,IF(G81=0,"TVA 0,00","TVA "&amp;G81),"")</f>
        <v/>
      </c>
      <c r="BA81" s="435" t="str">
        <f>J81</f>
        <v>0 x 0% x 485€ (Cf Annexes)</v>
      </c>
    </row>
    <row r="82" spans="1:53">
      <c r="A82" s="696">
        <f t="shared" si="60"/>
        <v>0</v>
      </c>
      <c r="B82" s="846" t="s">
        <v>588</v>
      </c>
      <c r="C82" s="845"/>
      <c r="D82" s="697" t="str">
        <f t="shared" si="62"/>
        <v>A</v>
      </c>
      <c r="E82" s="698">
        <v>5</v>
      </c>
      <c r="F82" s="894"/>
      <c r="G82" s="895">
        <v>20</v>
      </c>
      <c r="H82" s="434" t="s">
        <v>246</v>
      </c>
      <c r="I82" s="436"/>
      <c r="J82" s="884"/>
      <c r="K82" s="885"/>
      <c r="L82" s="885"/>
      <c r="M82" s="886"/>
      <c r="N82" s="699"/>
      <c r="O82" s="700" t="str">
        <f>"   "&amp;B82</f>
        <v xml:space="preserve">   Comptable</v>
      </c>
      <c r="P82" s="638"/>
      <c r="Q82" s="701"/>
      <c r="R82" s="702">
        <f t="shared" si="63"/>
        <v>0</v>
      </c>
      <c r="S82" s="703">
        <f t="shared" si="64"/>
        <v>5</v>
      </c>
      <c r="T82" s="701"/>
      <c r="U82" s="705">
        <f t="shared" si="65"/>
        <v>6</v>
      </c>
      <c r="V82" s="706" t="str">
        <f t="shared" si="75"/>
        <v>TVA 20. . . . . . . . . . . . . . . . . . . . . . . . . . . . . . . . . . . . . . . . . . . . . . . . . . . . . . . . . . . . . . . . . . . .</v>
      </c>
      <c r="W82" s="509"/>
      <c r="X82" s="403"/>
      <c r="Y82" s="403"/>
      <c r="Z82" s="509"/>
      <c r="AA82" s="509"/>
      <c r="AB82" s="707"/>
      <c r="AC82" s="708" t="s">
        <v>169</v>
      </c>
      <c r="AD82" s="709" t="s">
        <v>169</v>
      </c>
      <c r="AE82" s="710"/>
      <c r="AF82" s="710"/>
      <c r="AG82" s="736"/>
      <c r="AH82" s="434">
        <f t="shared" si="66"/>
        <v>1.2</v>
      </c>
      <c r="AI82" s="443">
        <f t="shared" si="67"/>
        <v>6</v>
      </c>
      <c r="AK82" s="443">
        <f t="shared" si="68"/>
        <v>5</v>
      </c>
      <c r="AL82" s="443">
        <f t="shared" si="69"/>
        <v>0</v>
      </c>
      <c r="AM82" s="443">
        <f t="shared" si="70"/>
        <v>0</v>
      </c>
      <c r="AN82" s="712">
        <f t="shared" si="71"/>
        <v>6</v>
      </c>
      <c r="AO82" s="712">
        <f t="shared" si="72"/>
        <v>0</v>
      </c>
      <c r="AP82" s="712">
        <f t="shared" si="73"/>
        <v>0</v>
      </c>
      <c r="AQ82" s="436"/>
      <c r="AR82" s="453" t="s">
        <v>246</v>
      </c>
      <c r="AS82" s="717">
        <v>0</v>
      </c>
      <c r="AT82" s="434">
        <v>19.600000000000001</v>
      </c>
      <c r="AU82" s="434" t="str">
        <f t="shared" si="74"/>
        <v>LL</v>
      </c>
      <c r="AV82" s="434" t="s">
        <v>277</v>
      </c>
      <c r="AW82" s="483">
        <f t="shared" si="59"/>
        <v>0</v>
      </c>
      <c r="AX82" s="719" t="str">
        <f t="shared" si="55"/>
        <v/>
      </c>
      <c r="AY82" s="434" t="str">
        <f>IF(AND(D82&lt;&gt;"A",E82&lt;&gt;AS82),"TM,","")</f>
        <v/>
      </c>
      <c r="AZ82" s="434" t="str">
        <f t="shared" si="46"/>
        <v>TVA 20</v>
      </c>
      <c r="BA82" s="435">
        <f t="shared" si="57"/>
        <v>0</v>
      </c>
    </row>
    <row r="83" spans="1:53" ht="12" customHeight="1">
      <c r="B83" s="444"/>
      <c r="C83" s="444"/>
      <c r="D83" s="444"/>
      <c r="E83" s="444"/>
      <c r="F83" s="444"/>
      <c r="G83" s="724"/>
      <c r="H83" s="444"/>
      <c r="I83" s="436"/>
      <c r="J83" s="444"/>
      <c r="K83" s="436"/>
      <c r="L83" s="436"/>
      <c r="M83" s="436"/>
      <c r="N83" s="699"/>
      <c r="O83" s="700"/>
      <c r="P83" s="638"/>
      <c r="Q83" s="738" t="s">
        <v>419</v>
      </c>
      <c r="R83" s="741"/>
      <c r="S83" s="739">
        <f>SUM(S70:S82)</f>
        <v>211</v>
      </c>
      <c r="T83" s="847">
        <f>IF(PR_REV.TOT_HT&lt;&gt;0,T_HONEXT_HT/PR_REV.TOT_HT,0)</f>
        <v>5.8692628650904036E-2</v>
      </c>
      <c r="U83" s="742">
        <f t="shared" si="65"/>
        <v>253</v>
      </c>
      <c r="V83" s="706" t="str">
        <f t="shared" si="75"/>
        <v>. . . . . . . . . . . . . . . . . . . . . . . . . . . . . . . . . . . . . . . . . . . . . . . . . . . . . . . . . . . . . . . . . . . .</v>
      </c>
      <c r="W83" s="509"/>
      <c r="X83" s="403"/>
      <c r="Y83" s="403"/>
      <c r="Z83" s="509"/>
      <c r="AA83" s="509"/>
      <c r="AB83" s="707"/>
      <c r="AC83" s="730">
        <f>IF($Q$20&lt;&gt;0,T_HONEXT_HT/$Q$20*1000,0)</f>
        <v>135.25641025641025</v>
      </c>
      <c r="AD83" s="731">
        <f>IF(SURF_HABIT&lt;&gt;0,AK83/SURF_HABIT*1000,0)</f>
        <v>143.02563615904992</v>
      </c>
      <c r="AE83" s="732">
        <f>IF(NB_LOGT&lt;&gt;0,AK83/NB_LOGT,0)</f>
        <v>9.5909090909090917</v>
      </c>
      <c r="AF83" s="732">
        <f>IF($AE$21&lt;&gt;0,AL83/$AE$21,0)</f>
        <v>0</v>
      </c>
      <c r="AG83" s="733">
        <f>IF(SURF_UTIL&lt;&gt;0,(AM83/SURF_UTIL)*1000,0)</f>
        <v>0</v>
      </c>
      <c r="AI83" s="743">
        <f>SUM(AI70:AI82)</f>
        <v>253</v>
      </c>
      <c r="AK83" s="712">
        <f t="shared" ref="AK83:AP83" si="76">SUM(AK70:AK82)</f>
        <v>211</v>
      </c>
      <c r="AL83" s="712">
        <f t="shared" si="76"/>
        <v>0</v>
      </c>
      <c r="AM83" s="712">
        <f t="shared" si="76"/>
        <v>0</v>
      </c>
      <c r="AN83" s="712">
        <f t="shared" si="76"/>
        <v>252.8</v>
      </c>
      <c r="AO83" s="712">
        <f t="shared" si="76"/>
        <v>0</v>
      </c>
      <c r="AP83" s="712">
        <f t="shared" si="76"/>
        <v>0</v>
      </c>
      <c r="AQ83" s="436"/>
      <c r="AR83" s="532"/>
      <c r="AS83" s="721"/>
      <c r="AU83" s="434" t="s">
        <v>277</v>
      </c>
      <c r="AV83" s="434" t="s">
        <v>277</v>
      </c>
      <c r="AW83" s="483">
        <f t="shared" si="59"/>
        <v>0</v>
      </c>
      <c r="AX83" s="719" t="str">
        <f t="shared" si="55"/>
        <v/>
      </c>
      <c r="AY83" s="434" t="str">
        <f t="shared" ref="AY83:AY96" si="77">IF(AND(D83&lt;&gt;"A",E83&lt;&gt;AS83),"TM,","")</f>
        <v/>
      </c>
      <c r="AZ83" s="434" t="str">
        <f t="shared" si="46"/>
        <v/>
      </c>
      <c r="BA83" s="435">
        <f t="shared" si="57"/>
        <v>0</v>
      </c>
    </row>
    <row r="84" spans="1:53" ht="12.9" customHeight="1">
      <c r="A84" s="696">
        <f>IF(OR(ISBLANK(D84),MID(D84,1,1)=" "),IF(OR(ISBLANK(E84),E84=0),,"*"),IF(ISERR(SEARCH(MID(D84,1,1),H84,1)),"*",))</f>
        <v>0</v>
      </c>
      <c r="B84" s="434" t="str">
        <f t="shared" ref="B84:B89" si="78">O84&amp;" "&amp;P84</f>
        <v>440 Coordination</v>
      </c>
      <c r="C84" s="436"/>
      <c r="D84" s="697" t="str">
        <f t="shared" ref="D84:D90" si="79">AR84</f>
        <v>A</v>
      </c>
      <c r="E84" s="698">
        <f t="shared" ref="E84:E89" si="80">AS84</f>
        <v>0</v>
      </c>
      <c r="F84" s="894"/>
      <c r="G84" s="895">
        <v>20</v>
      </c>
      <c r="H84" s="434" t="s">
        <v>420</v>
      </c>
      <c r="I84" s="436"/>
      <c r="J84" s="884"/>
      <c r="K84" s="885"/>
      <c r="L84" s="885"/>
      <c r="M84" s="886"/>
      <c r="N84" s="699"/>
      <c r="O84" s="700">
        <v>440</v>
      </c>
      <c r="P84" s="638" t="s">
        <v>83</v>
      </c>
      <c r="Q84" s="701"/>
      <c r="R84" s="702">
        <f t="shared" ref="R84:R90" si="81">IF(OR(D84="N",D84="P",D84="Q"),INT(E84)&amp;" "&amp;Sigle_Monnaie,IF(D84="A",,E84/100))</f>
        <v>0</v>
      </c>
      <c r="S84" s="703">
        <f t="shared" ref="S84:S90" si="82">IF(OR(ISBLANK(D84),MID(D84,1,1)=" "),,ROUND(IF(SEARCH(MID(D84,1,1),H84,1)&gt;0,IF(OR(D84="N",D84="P",D84="Q"),VLOOKUP(MID(D84,1,1),BASE,3)*E84/1000,VLOOKUP(MID(D84,1,1),BASE,3)*E84/100),),0))</f>
        <v>0</v>
      </c>
      <c r="T84" s="848"/>
      <c r="U84" s="705">
        <f t="shared" si="65"/>
        <v>0</v>
      </c>
      <c r="V84" s="706" t="str">
        <f t="shared" si="75"/>
        <v>TVA 20. . . . . . . . . . . . . . . . . . . . . . . . . . . . . . . . . . . . . . . . . . . . . . . . . . . . . . . . . . . . . . . . . . . .</v>
      </c>
      <c r="W84" s="509"/>
      <c r="X84" s="403"/>
      <c r="Y84" s="403"/>
      <c r="Z84" s="542">
        <f>IF(D84="D",". . . . . . . . . . . . . ",IF($AI$68&lt;&gt;0,$S84/$AI$68,0))</f>
        <v>0</v>
      </c>
      <c r="AA84" s="883" t="str">
        <f>IF(D84="D",". . . . . . . . . . . . . . . . . . . . . . . . . . .","DE 3 + 4 TTC. . . . . . . . . . . .")</f>
        <v>DE 3 + 4 TTC. . . . . . . . . . . .</v>
      </c>
      <c r="AB84" s="707"/>
      <c r="AC84" s="708" t="s">
        <v>169</v>
      </c>
      <c r="AD84" s="709" t="s">
        <v>169</v>
      </c>
      <c r="AE84" s="710"/>
      <c r="AF84" s="710"/>
      <c r="AG84" s="736"/>
      <c r="AH84" s="434">
        <f t="shared" ref="AH84:AH90" si="83">1+(G84/100)</f>
        <v>1.2</v>
      </c>
      <c r="AI84" s="443">
        <f t="shared" ref="AI84:AI90" si="84">ROUND(S84*AH84,0)</f>
        <v>0</v>
      </c>
      <c r="AK84" s="443">
        <f t="shared" ref="AK84:AK90" si="85">IF(OR(ISBLANK(D84),MID(D84,1,1)=" "),,ROUND(IF(SEARCH(MID(D84,1,1),H84,1)&gt;0,VLOOKUP(MID(D84,1,1),BASE,4)*E84/100,),0))</f>
        <v>0</v>
      </c>
      <c r="AL84" s="443">
        <f t="shared" ref="AL84:AL90" si="86">IF(OR(ISBLANK(D84),MID(D84,1,1)=" "),,ROUND(IF(SEARCH(MID(D84,1,1),H84,1)&gt;0,VLOOKUP(MID(D84,1,1),BASE,5)*E84/100,),0))</f>
        <v>0</v>
      </c>
      <c r="AM84" s="443">
        <f t="shared" ref="AM84:AM90" si="87">IF(OR(ISBLANK(D84),MID(D84,1,1)=" "),,ROUND(IF(SEARCH(MID(D84,1,1),H84,1)&gt;0,VLOOKUP(MID(D84,1,1),BASE,6)*E84/100,),0))</f>
        <v>0</v>
      </c>
      <c r="AN84" s="712">
        <f t="shared" ref="AN84:AP89" si="88">AK84*$AH84</f>
        <v>0</v>
      </c>
      <c r="AO84" s="712">
        <f t="shared" si="88"/>
        <v>0</v>
      </c>
      <c r="AP84" s="712">
        <f t="shared" si="88"/>
        <v>0</v>
      </c>
      <c r="AQ84" s="436"/>
      <c r="AR84" s="716" t="s">
        <v>246</v>
      </c>
      <c r="AS84" s="717">
        <v>0</v>
      </c>
      <c r="AT84" s="434">
        <v>19.600000000000001</v>
      </c>
      <c r="AU84" s="434" t="str">
        <f t="shared" ref="AU84:AU90" si="89">IF(S84=0,"SL","LL")</f>
        <v>SL</v>
      </c>
      <c r="AV84" s="434" t="s">
        <v>277</v>
      </c>
      <c r="AW84" s="483">
        <f t="shared" si="59"/>
        <v>0</v>
      </c>
      <c r="AX84" s="719" t="str">
        <f t="shared" si="55"/>
        <v/>
      </c>
      <c r="AY84" s="434" t="str">
        <f t="shared" si="77"/>
        <v/>
      </c>
      <c r="AZ84" s="434" t="str">
        <f t="shared" ref="AZ84:AZ105" si="90">IF(G84&lt;&gt;AT84,IF(G84=0,"TVA 0,00","TVA "&amp;G84),"")</f>
        <v>TVA 20</v>
      </c>
      <c r="BA84" s="435">
        <f t="shared" si="57"/>
        <v>0</v>
      </c>
    </row>
    <row r="85" spans="1:53" ht="12.9" customHeight="1">
      <c r="A85" s="696">
        <f>IF(OR(ISBLANK(D85),MID(D85,1,1)=" "),IF(OR(ISBLANK(E85),E85=0),,"*"),IF(ISERR(SEARCH(MID(D85,1,1),H85,1)),"*",))</f>
        <v>0</v>
      </c>
      <c r="B85" s="434" t="str">
        <f t="shared" si="78"/>
        <v>441 Maîtrise d'oeuvre</v>
      </c>
      <c r="C85" s="436"/>
      <c r="D85" s="697" t="s">
        <v>290</v>
      </c>
      <c r="E85" s="698"/>
      <c r="F85" s="894"/>
      <c r="G85" s="895">
        <v>20</v>
      </c>
      <c r="H85" s="434" t="s">
        <v>421</v>
      </c>
      <c r="I85" s="436"/>
      <c r="J85" s="884"/>
      <c r="K85" s="885"/>
      <c r="L85" s="885"/>
      <c r="M85" s="886"/>
      <c r="N85" s="699"/>
      <c r="O85" s="700">
        <v>441</v>
      </c>
      <c r="P85" s="638" t="s">
        <v>422</v>
      </c>
      <c r="Q85" s="701"/>
      <c r="R85" s="702">
        <f t="shared" si="81"/>
        <v>0</v>
      </c>
      <c r="S85" s="703">
        <f t="shared" si="82"/>
        <v>0</v>
      </c>
      <c r="T85" s="701"/>
      <c r="U85" s="705">
        <f t="shared" si="65"/>
        <v>0</v>
      </c>
      <c r="V85" s="706" t="str">
        <f t="shared" si="75"/>
        <v>BM,TVA 20PV TTC  . . . . . . . . . . . . . . . . . . . . . . . . . . . . . . . . . . . . . . . . . . . . . . . . . . . . . . . . . . . . .</v>
      </c>
      <c r="W85" s="509"/>
      <c r="X85" s="403"/>
      <c r="Y85" s="403"/>
      <c r="Z85" s="542">
        <f>IF(D85="D",". . . . . . . . . . . . . ",IF($AI$68&lt;&gt;0,$S85/$AI$68,0))</f>
        <v>0</v>
      </c>
      <c r="AA85" s="883" t="str">
        <f>IF(D85="D",". . . . . . . . . . . . . . . . . . . . . . . . . . .","DE 3 + 4 TTC. . . . . . . . . . . .")</f>
        <v>DE 3 + 4 TTC. . . . . . . . . . . .</v>
      </c>
      <c r="AB85" s="883"/>
      <c r="AC85" s="708" t="s">
        <v>169</v>
      </c>
      <c r="AD85" s="709" t="s">
        <v>169</v>
      </c>
      <c r="AE85" s="710"/>
      <c r="AF85" s="710"/>
      <c r="AG85" s="736"/>
      <c r="AH85" s="434">
        <f t="shared" si="83"/>
        <v>1.2</v>
      </c>
      <c r="AI85" s="443">
        <f t="shared" si="84"/>
        <v>0</v>
      </c>
      <c r="AK85" s="443">
        <f t="shared" si="85"/>
        <v>0</v>
      </c>
      <c r="AL85" s="443">
        <f t="shared" si="86"/>
        <v>0</v>
      </c>
      <c r="AM85" s="443">
        <f t="shared" si="87"/>
        <v>0</v>
      </c>
      <c r="AN85" s="712">
        <f t="shared" si="88"/>
        <v>0</v>
      </c>
      <c r="AO85" s="712">
        <f t="shared" si="88"/>
        <v>0</v>
      </c>
      <c r="AP85" s="712">
        <f t="shared" si="88"/>
        <v>0</v>
      </c>
      <c r="AQ85" s="436"/>
      <c r="AR85" s="716" t="s">
        <v>269</v>
      </c>
      <c r="AS85" s="717">
        <v>0</v>
      </c>
      <c r="AT85" s="434">
        <v>19.600000000000001</v>
      </c>
      <c r="AU85" s="434" t="str">
        <f t="shared" si="89"/>
        <v>SL</v>
      </c>
      <c r="AV85" s="434" t="s">
        <v>277</v>
      </c>
      <c r="AW85" s="483">
        <f t="shared" si="59"/>
        <v>0</v>
      </c>
      <c r="AX85" s="719" t="str">
        <f t="shared" si="55"/>
        <v>BM,</v>
      </c>
      <c r="AY85" s="434" t="str">
        <f t="shared" si="77"/>
        <v/>
      </c>
      <c r="AZ85" s="434" t="str">
        <f t="shared" si="90"/>
        <v>TVA 20</v>
      </c>
      <c r="BA85" s="435">
        <f t="shared" si="57"/>
        <v>0</v>
      </c>
    </row>
    <row r="86" spans="1:53" ht="12.9" customHeight="1">
      <c r="A86" s="696"/>
      <c r="B86" s="434" t="str">
        <f t="shared" si="78"/>
        <v>442 Suivi de programme</v>
      </c>
      <c r="C86" s="436"/>
      <c r="D86" s="697" t="str">
        <f t="shared" si="79"/>
        <v>H</v>
      </c>
      <c r="E86" s="698">
        <f t="shared" si="80"/>
        <v>0</v>
      </c>
      <c r="F86" s="894"/>
      <c r="G86" s="895">
        <v>20</v>
      </c>
      <c r="H86" s="434" t="s">
        <v>421</v>
      </c>
      <c r="I86" s="436"/>
      <c r="J86" s="884"/>
      <c r="K86" s="885"/>
      <c r="L86" s="885"/>
      <c r="M86" s="886"/>
      <c r="N86" s="699"/>
      <c r="O86" s="700">
        <v>442</v>
      </c>
      <c r="P86" s="638" t="s">
        <v>423</v>
      </c>
      <c r="Q86" s="701"/>
      <c r="R86" s="702">
        <f t="shared" si="81"/>
        <v>0</v>
      </c>
      <c r="S86" s="703">
        <f t="shared" si="82"/>
        <v>0</v>
      </c>
      <c r="T86" s="701"/>
      <c r="U86" s="705">
        <f t="shared" si="65"/>
        <v>0</v>
      </c>
      <c r="V86" s="706" t="str">
        <f t="shared" si="75"/>
        <v>TVA 20PV TTC  . . . . . . . . . . . . . . . . . . . . . . . . . . . . . . . . . . . . . . . . . . . . . . . . . . . . . . . . . . . . .</v>
      </c>
      <c r="W86" s="509"/>
      <c r="X86" s="403"/>
      <c r="Y86" s="403"/>
      <c r="Z86" s="509" t="str">
        <f>IF(D86="H",". . . . . . . . . . . . . . . . .",IF(PVTOT_TTC&lt;&gt;0,$S86/PVTOT_TTC,0))</f>
        <v>. . . . . . . . . . . . . . . . .</v>
      </c>
      <c r="AA86" s="883" t="str">
        <f>IF(D86="H"," . . . . . . . . . . . . . . . . . . . . . . . . . .","DE PV TTC. . . . . . . . . . . . . .")</f>
        <v xml:space="preserve"> . . . . . . . . . . . . . . . . . . . . . . . . . .</v>
      </c>
      <c r="AB86" s="883"/>
      <c r="AC86" s="708" t="s">
        <v>169</v>
      </c>
      <c r="AD86" s="709" t="s">
        <v>169</v>
      </c>
      <c r="AE86" s="710"/>
      <c r="AF86" s="710"/>
      <c r="AG86" s="736"/>
      <c r="AH86" s="434">
        <f t="shared" si="83"/>
        <v>1.2</v>
      </c>
      <c r="AI86" s="443">
        <f t="shared" si="84"/>
        <v>0</v>
      </c>
      <c r="AK86" s="443">
        <f t="shared" si="85"/>
        <v>0</v>
      </c>
      <c r="AL86" s="443">
        <f t="shared" si="86"/>
        <v>0</v>
      </c>
      <c r="AM86" s="443">
        <f t="shared" si="87"/>
        <v>0</v>
      </c>
      <c r="AN86" s="712">
        <f t="shared" si="88"/>
        <v>0</v>
      </c>
      <c r="AO86" s="712">
        <f t="shared" si="88"/>
        <v>0</v>
      </c>
      <c r="AP86" s="712">
        <f t="shared" si="88"/>
        <v>0</v>
      </c>
      <c r="AQ86" s="436"/>
      <c r="AR86" s="716" t="s">
        <v>290</v>
      </c>
      <c r="AS86" s="717">
        <v>0</v>
      </c>
      <c r="AT86" s="434">
        <v>19.600000000000001</v>
      </c>
      <c r="AU86" s="434" t="s">
        <v>257</v>
      </c>
      <c r="AV86" s="434" t="s">
        <v>277</v>
      </c>
      <c r="AW86" s="483">
        <f t="shared" si="59"/>
        <v>0</v>
      </c>
      <c r="AX86" s="719" t="str">
        <f t="shared" si="55"/>
        <v/>
      </c>
      <c r="AY86" s="434" t="str">
        <f t="shared" si="77"/>
        <v/>
      </c>
      <c r="AZ86" s="434" t="str">
        <f t="shared" si="90"/>
        <v>TVA 20</v>
      </c>
      <c r="BA86" s="435">
        <f t="shared" si="57"/>
        <v>0</v>
      </c>
    </row>
    <row r="87" spans="1:53" ht="12.9" customHeight="1">
      <c r="A87" s="696">
        <f>IF(OR(ISBLANK(D87),MID(D87,1,1)=" "),IF(OR(ISBLANK(E87),E87=0),,"*"),IF(ISERR(SEARCH(MID(D87,1,1),H87,1)),"*",))</f>
        <v>0</v>
      </c>
      <c r="B87" s="434" t="str">
        <f t="shared" si="78"/>
        <v>450 Gestion</v>
      </c>
      <c r="C87" s="436"/>
      <c r="D87" s="697" t="s">
        <v>290</v>
      </c>
      <c r="E87" s="698">
        <v>5</v>
      </c>
      <c r="F87" s="894"/>
      <c r="G87" s="895">
        <v>20</v>
      </c>
      <c r="H87" s="434" t="s">
        <v>424</v>
      </c>
      <c r="I87" s="436"/>
      <c r="J87" s="884"/>
      <c r="K87" s="885"/>
      <c r="L87" s="885"/>
      <c r="M87" s="886"/>
      <c r="N87" s="699"/>
      <c r="O87" s="700">
        <v>450</v>
      </c>
      <c r="P87" s="638" t="s">
        <v>85</v>
      </c>
      <c r="Q87" s="701"/>
      <c r="R87" s="702">
        <f t="shared" si="81"/>
        <v>0.05</v>
      </c>
      <c r="S87" s="703">
        <f t="shared" si="82"/>
        <v>225</v>
      </c>
      <c r="T87" s="701"/>
      <c r="U87" s="705">
        <f t="shared" si="65"/>
        <v>270</v>
      </c>
      <c r="V87" s="706" t="str">
        <f t="shared" si="75"/>
        <v>TM,TVA 20PV TTC  . . . . . . . . . . . . . . . . . . . . . . . . . . . . . . . . . . . . . . . . . . . . . . . . . . . . . . . . . . . . .</v>
      </c>
      <c r="W87" s="509"/>
      <c r="X87" s="403"/>
      <c r="Y87" s="403"/>
      <c r="Z87" s="542" t="str">
        <f>IF(D87="H",". . . . . . . . . . . . . . . . .",IF(PVTOT_TTC&lt;&gt;0,$S87/PVTOT_TTC,0))</f>
        <v>. . . . . . . . . . . . . . . . .</v>
      </c>
      <c r="AA87" s="883" t="str">
        <f>IF(D87="H"," . . . . . . . . . . . . . . . . . . . . . . . . . .","DE PV TTC. . . . . . . . . . . . . .")</f>
        <v xml:space="preserve"> . . . . . . . . . . . . . . . . . . . . . . . . . .</v>
      </c>
      <c r="AB87" s="707"/>
      <c r="AC87" s="708" t="s">
        <v>169</v>
      </c>
      <c r="AD87" s="709" t="s">
        <v>169</v>
      </c>
      <c r="AE87" s="710"/>
      <c r="AF87" s="710"/>
      <c r="AG87" s="736"/>
      <c r="AH87" s="434">
        <f t="shared" si="83"/>
        <v>1.2</v>
      </c>
      <c r="AI87" s="443">
        <f t="shared" si="84"/>
        <v>270</v>
      </c>
      <c r="AK87" s="443">
        <f t="shared" si="85"/>
        <v>222</v>
      </c>
      <c r="AL87" s="443">
        <f t="shared" si="86"/>
        <v>0</v>
      </c>
      <c r="AM87" s="443">
        <f t="shared" si="87"/>
        <v>2</v>
      </c>
      <c r="AN87" s="712">
        <f t="shared" si="88"/>
        <v>266.39999999999998</v>
      </c>
      <c r="AO87" s="712">
        <f t="shared" si="88"/>
        <v>0</v>
      </c>
      <c r="AP87" s="712">
        <f t="shared" si="88"/>
        <v>2.4</v>
      </c>
      <c r="AQ87" s="436"/>
      <c r="AR87" s="716" t="s">
        <v>290</v>
      </c>
      <c r="AS87" s="717">
        <v>1.65</v>
      </c>
      <c r="AT87" s="434">
        <v>19.600000000000001</v>
      </c>
      <c r="AU87" s="434" t="str">
        <f t="shared" si="89"/>
        <v>LL</v>
      </c>
      <c r="AV87" s="434" t="s">
        <v>277</v>
      </c>
      <c r="AW87" s="483">
        <f t="shared" si="59"/>
        <v>0</v>
      </c>
      <c r="AX87" s="719" t="str">
        <f t="shared" si="55"/>
        <v/>
      </c>
      <c r="AY87" s="434" t="str">
        <f t="shared" si="77"/>
        <v>TM,</v>
      </c>
      <c r="AZ87" s="434" t="str">
        <f t="shared" si="90"/>
        <v>TVA 20</v>
      </c>
      <c r="BA87" s="435">
        <f t="shared" si="57"/>
        <v>0</v>
      </c>
    </row>
    <row r="88" spans="1:53" ht="12.9" customHeight="1">
      <c r="A88" s="696">
        <f>IF(OR(ISBLANK(D88),MID(D88,1,1)=" "),IF(OR(ISBLANK(E88),E88=0),,"*"),IF(ISERR(SEARCH(MID(D88,1,1),H88,1)),"*",))</f>
        <v>0</v>
      </c>
      <c r="B88" s="434" t="str">
        <f t="shared" si="78"/>
        <v>455 Montage opération</v>
      </c>
      <c r="C88" s="436"/>
      <c r="D88" s="697" t="s">
        <v>246</v>
      </c>
      <c r="E88" s="698"/>
      <c r="F88" s="894"/>
      <c r="G88" s="895">
        <v>20</v>
      </c>
      <c r="H88" s="434" t="s">
        <v>418</v>
      </c>
      <c r="I88" s="436"/>
      <c r="J88" s="884"/>
      <c r="K88" s="885"/>
      <c r="L88" s="885"/>
      <c r="M88" s="886"/>
      <c r="N88" s="699"/>
      <c r="O88" s="700">
        <v>455</v>
      </c>
      <c r="P88" s="638" t="s">
        <v>425</v>
      </c>
      <c r="Q88" s="701"/>
      <c r="R88" s="702">
        <f t="shared" si="81"/>
        <v>0</v>
      </c>
      <c r="S88" s="703">
        <f t="shared" si="82"/>
        <v>0</v>
      </c>
      <c r="T88" s="701"/>
      <c r="U88" s="705">
        <f t="shared" si="65"/>
        <v>0</v>
      </c>
      <c r="V88" s="706" t="str">
        <f t="shared" si="75"/>
        <v>BM,TVA 20. . . . . . . . . . . . . . . . . . . . . . . . . . . . . . . . . . . . . . . . . . . . . . . . . . . . . . . . . . . . . . . . . . . .</v>
      </c>
      <c r="W88" s="509"/>
      <c r="X88" s="403"/>
      <c r="Y88" s="403"/>
      <c r="Z88" s="542">
        <f>IF(D88="H",". . . . . . . . . . . . . . . . .",IF(PVTOT_TTC&lt;&gt;0,$S88/PVTOT_TTC,0))</f>
        <v>0</v>
      </c>
      <c r="AA88" s="883" t="str">
        <f>IF(D88="H"," . . . . . . . . . . . . . . . . . . . . . . . . . .","DE PV TTC. . . . . . . . . . . . . .")</f>
        <v>DE PV TTC. . . . . . . . . . . . . .</v>
      </c>
      <c r="AB88" s="707"/>
      <c r="AC88" s="708" t="s">
        <v>169</v>
      </c>
      <c r="AD88" s="709" t="s">
        <v>169</v>
      </c>
      <c r="AE88" s="710"/>
      <c r="AF88" s="710"/>
      <c r="AG88" s="736"/>
      <c r="AH88" s="434">
        <f t="shared" si="83"/>
        <v>1.2</v>
      </c>
      <c r="AI88" s="443">
        <f t="shared" si="84"/>
        <v>0</v>
      </c>
      <c r="AK88" s="443">
        <f t="shared" si="85"/>
        <v>0</v>
      </c>
      <c r="AL88" s="443">
        <f t="shared" si="86"/>
        <v>0</v>
      </c>
      <c r="AM88" s="443">
        <f t="shared" si="87"/>
        <v>0</v>
      </c>
      <c r="AN88" s="712">
        <f t="shared" si="88"/>
        <v>0</v>
      </c>
      <c r="AO88" s="712">
        <f t="shared" si="88"/>
        <v>0</v>
      </c>
      <c r="AP88" s="712">
        <f t="shared" si="88"/>
        <v>0</v>
      </c>
      <c r="AQ88" s="436"/>
      <c r="AR88" s="716" t="s">
        <v>290</v>
      </c>
      <c r="AS88" s="717">
        <v>3.5</v>
      </c>
      <c r="AT88" s="434">
        <v>19.600000000000001</v>
      </c>
      <c r="AU88" s="434" t="str">
        <f t="shared" si="89"/>
        <v>SL</v>
      </c>
      <c r="AV88" s="434" t="s">
        <v>277</v>
      </c>
      <c r="AW88" s="483">
        <f t="shared" si="59"/>
        <v>0</v>
      </c>
      <c r="AX88" s="719" t="str">
        <f t="shared" si="55"/>
        <v>BM,</v>
      </c>
      <c r="AY88" s="434" t="str">
        <f t="shared" si="77"/>
        <v/>
      </c>
      <c r="AZ88" s="434" t="str">
        <f t="shared" si="90"/>
        <v>TVA 20</v>
      </c>
      <c r="BA88" s="435">
        <f t="shared" si="57"/>
        <v>0</v>
      </c>
    </row>
    <row r="89" spans="1:53" ht="12.9" customHeight="1">
      <c r="A89" s="696">
        <f>IF(OR(ISBLANK(D89),MID(D89,1,1)=" "),IF(OR(ISBLANK(E89),E89=0),,"*"),IF(ISERR(SEARCH(MID(D89,1,1),H89,1)),"*",))</f>
        <v>0</v>
      </c>
      <c r="B89" s="434" t="str">
        <f t="shared" si="78"/>
        <v>457 Admin. des ventes</v>
      </c>
      <c r="C89" s="436"/>
      <c r="D89" s="697" t="str">
        <f t="shared" si="79"/>
        <v>H</v>
      </c>
      <c r="E89" s="698">
        <f t="shared" si="80"/>
        <v>0</v>
      </c>
      <c r="F89" s="894"/>
      <c r="G89" s="895">
        <v>20</v>
      </c>
      <c r="H89" s="434" t="s">
        <v>418</v>
      </c>
      <c r="I89" s="436"/>
      <c r="J89" s="884"/>
      <c r="K89" s="885"/>
      <c r="L89" s="885"/>
      <c r="M89" s="886"/>
      <c r="N89" s="699"/>
      <c r="O89" s="700">
        <v>457</v>
      </c>
      <c r="P89" s="638" t="s">
        <v>426</v>
      </c>
      <c r="Q89" s="701"/>
      <c r="R89" s="702">
        <f t="shared" si="81"/>
        <v>0</v>
      </c>
      <c r="S89" s="703">
        <f t="shared" si="82"/>
        <v>0</v>
      </c>
      <c r="T89" s="701"/>
      <c r="U89" s="705">
        <f t="shared" si="65"/>
        <v>0</v>
      </c>
      <c r="V89" s="706" t="str">
        <f t="shared" si="75"/>
        <v>TVA 20PV TTC  . . . . . . . . . . . . . . . . . . . . . . . . . . . . . . . . . . . . . . . . . . . . . . . . . . . . . . . . . . . . .</v>
      </c>
      <c r="W89" s="509"/>
      <c r="X89" s="403"/>
      <c r="Y89" s="403"/>
      <c r="Z89" s="542" t="str">
        <f>IF(D89="H",". . . . . . . . . . . . . . . . .",IF(PVTOT_TTC&lt;&gt;0,$S89/PVTOT_TTC,0))</f>
        <v>. . . . . . . . . . . . . . . . .</v>
      </c>
      <c r="AA89" s="883" t="str">
        <f>IF(D89="H"," . . . . . . . . . . . . . . . . . . . . . . . . . .","DE PV TTC. . . . . . . . . . . . . .")</f>
        <v xml:space="preserve"> . . . . . . . . . . . . . . . . . . . . . . . . . .</v>
      </c>
      <c r="AB89" s="707"/>
      <c r="AC89" s="708" t="s">
        <v>169</v>
      </c>
      <c r="AD89" s="709" t="s">
        <v>169</v>
      </c>
      <c r="AE89" s="710"/>
      <c r="AF89" s="710"/>
      <c r="AG89" s="736"/>
      <c r="AH89" s="434">
        <f t="shared" si="83"/>
        <v>1.2</v>
      </c>
      <c r="AI89" s="443">
        <f t="shared" si="84"/>
        <v>0</v>
      </c>
      <c r="AK89" s="443">
        <f t="shared" si="85"/>
        <v>0</v>
      </c>
      <c r="AL89" s="443">
        <f t="shared" si="86"/>
        <v>0</v>
      </c>
      <c r="AM89" s="443">
        <f t="shared" si="87"/>
        <v>0</v>
      </c>
      <c r="AN89" s="712">
        <f t="shared" si="88"/>
        <v>0</v>
      </c>
      <c r="AO89" s="712">
        <f t="shared" si="88"/>
        <v>0</v>
      </c>
      <c r="AP89" s="712">
        <f t="shared" si="88"/>
        <v>0</v>
      </c>
      <c r="AQ89" s="436"/>
      <c r="AR89" s="716" t="s">
        <v>290</v>
      </c>
      <c r="AS89" s="717">
        <v>0</v>
      </c>
      <c r="AT89" s="434">
        <v>19.600000000000001</v>
      </c>
      <c r="AU89" s="434" t="str">
        <f t="shared" si="89"/>
        <v>SL</v>
      </c>
      <c r="AV89" s="434" t="s">
        <v>277</v>
      </c>
      <c r="AW89" s="483">
        <f t="shared" si="59"/>
        <v>0</v>
      </c>
      <c r="AX89" s="719" t="str">
        <f t="shared" si="55"/>
        <v/>
      </c>
      <c r="AY89" s="434" t="str">
        <f t="shared" si="77"/>
        <v/>
      </c>
      <c r="AZ89" s="434" t="str">
        <f t="shared" si="90"/>
        <v>TVA 20</v>
      </c>
      <c r="BA89" s="435">
        <f t="shared" si="57"/>
        <v>0</v>
      </c>
    </row>
    <row r="90" spans="1:53">
      <c r="A90" s="696">
        <f>IF(OR(ISBLANK(D90),MID(D90,1,1)=" "),IF(OR(ISBLANK(E90),E90=0),,"*"),IF(ISERR(SEARCH(MID(D90,1,1),H90,1)),"*",))</f>
        <v>0</v>
      </c>
      <c r="B90" s="846"/>
      <c r="C90" s="845"/>
      <c r="D90" s="697" t="str">
        <f t="shared" si="79"/>
        <v>A</v>
      </c>
      <c r="E90" s="698"/>
      <c r="F90" s="894"/>
      <c r="G90" s="895">
        <v>20</v>
      </c>
      <c r="H90" s="434" t="s">
        <v>246</v>
      </c>
      <c r="I90" s="436"/>
      <c r="J90" s="884" t="s">
        <v>595</v>
      </c>
      <c r="K90" s="885"/>
      <c r="L90" s="885"/>
      <c r="M90" s="886"/>
      <c r="N90" s="699"/>
      <c r="O90" s="700" t="str">
        <f>"   "&amp;B90</f>
        <v xml:space="preserve">   </v>
      </c>
      <c r="P90" s="638"/>
      <c r="Q90" s="701"/>
      <c r="R90" s="702">
        <f t="shared" si="81"/>
        <v>0</v>
      </c>
      <c r="S90" s="703">
        <f t="shared" si="82"/>
        <v>0</v>
      </c>
      <c r="T90" s="701"/>
      <c r="U90" s="705">
        <f t="shared" si="65"/>
        <v>0</v>
      </c>
      <c r="V90" s="706" t="str">
        <f t="shared" si="75"/>
        <v>TVA 20Frais d'acte / Cuisine / Remise co . . . . . . . . . . . . . . . . . . . . . . . . . . . . . . . . . . . . . . . . . . . . . . . . . . . . . . . . . . . . . . . . . . . .</v>
      </c>
      <c r="W90" s="509"/>
      <c r="X90" s="403"/>
      <c r="Y90" s="403"/>
      <c r="Z90" s="509"/>
      <c r="AA90" s="509"/>
      <c r="AB90" s="707"/>
      <c r="AC90" s="708" t="s">
        <v>169</v>
      </c>
      <c r="AD90" s="709" t="s">
        <v>169</v>
      </c>
      <c r="AE90" s="710"/>
      <c r="AF90" s="710"/>
      <c r="AG90" s="736"/>
      <c r="AH90" s="434">
        <f t="shared" si="83"/>
        <v>1.2</v>
      </c>
      <c r="AI90" s="443">
        <f t="shared" si="84"/>
        <v>0</v>
      </c>
      <c r="AK90" s="443">
        <f t="shared" si="85"/>
        <v>0</v>
      </c>
      <c r="AL90" s="443">
        <f t="shared" si="86"/>
        <v>0</v>
      </c>
      <c r="AM90" s="443">
        <f t="shared" si="87"/>
        <v>0</v>
      </c>
      <c r="AN90" s="712">
        <f>AK90*AH90</f>
        <v>0</v>
      </c>
      <c r="AO90" s="712">
        <f>AL90*AH90</f>
        <v>0</v>
      </c>
      <c r="AP90" s="712">
        <f>AM90*AH90</f>
        <v>0</v>
      </c>
      <c r="AQ90" s="436"/>
      <c r="AR90" s="453" t="s">
        <v>246</v>
      </c>
      <c r="AS90" s="717">
        <v>0</v>
      </c>
      <c r="AT90" s="434">
        <v>19.600000000000001</v>
      </c>
      <c r="AU90" s="434" t="str">
        <f t="shared" si="89"/>
        <v>SL</v>
      </c>
      <c r="AV90" s="434" t="s">
        <v>277</v>
      </c>
      <c r="AW90" s="483">
        <f t="shared" si="59"/>
        <v>0</v>
      </c>
      <c r="AX90" s="719" t="str">
        <f t="shared" si="55"/>
        <v/>
      </c>
      <c r="AY90" s="434" t="str">
        <f t="shared" si="77"/>
        <v/>
      </c>
      <c r="AZ90" s="434" t="str">
        <f t="shared" si="90"/>
        <v>TVA 20</v>
      </c>
      <c r="BA90" s="435" t="str">
        <f t="shared" si="57"/>
        <v>Frais d'acte / Cuisine / Remise co</v>
      </c>
    </row>
    <row r="91" spans="1:53" ht="12.75" customHeight="1" thickBot="1">
      <c r="B91" s="444">
        <f>AS91</f>
        <v>0</v>
      </c>
      <c r="C91" s="444"/>
      <c r="D91" s="444"/>
      <c r="E91" s="444"/>
      <c r="F91" s="444"/>
      <c r="G91" s="724"/>
      <c r="H91" s="444"/>
      <c r="I91" s="436"/>
      <c r="J91" s="444"/>
      <c r="K91" s="436"/>
      <c r="L91" s="436"/>
      <c r="M91" s="436"/>
      <c r="N91" s="699"/>
      <c r="O91" s="700"/>
      <c r="P91" s="638"/>
      <c r="Q91" s="738" t="s">
        <v>427</v>
      </c>
      <c r="R91" s="741"/>
      <c r="S91" s="739">
        <f>SUM(S84:S90)</f>
        <v>225</v>
      </c>
      <c r="T91" s="729">
        <f>IF(PR_REV.TOT_HT&lt;&gt;0,T_HONINT_HT/PR_REV.TOT_HT,0)</f>
        <v>6.258692628650904E-2</v>
      </c>
      <c r="U91" s="742">
        <f t="shared" si="65"/>
        <v>270</v>
      </c>
      <c r="V91" s="706" t="str">
        <f t="shared" si="75"/>
        <v>. . . . . . . . . . . . . . . . . . . . . . . . . . . . . . . . . . . . . . . . . . . . . . . . . . . . . . . . . . . . . . . . . . . .</v>
      </c>
      <c r="W91" s="509"/>
      <c r="X91" s="403"/>
      <c r="Y91" s="403"/>
      <c r="Z91" s="509"/>
      <c r="AA91" s="509"/>
      <c r="AB91" s="707"/>
      <c r="AC91" s="730">
        <f>IF($Q$20&lt;&gt;0,T_HONINT_HT/$Q$20*1000,0)</f>
        <v>144.23076923076923</v>
      </c>
      <c r="AD91" s="731">
        <f>IF(SURF_HABIT&lt;&gt;0,AK91/SURF_HABIT*1000,0)</f>
        <v>150.48194894459283</v>
      </c>
      <c r="AE91" s="732">
        <f>IF(NB_LOGT&lt;&gt;0,AK91/NB_LOGT,0)</f>
        <v>10.090909090909092</v>
      </c>
      <c r="AF91" s="732">
        <f>IF($AE$21&lt;&gt;0,AL91/$AE$21,0)</f>
        <v>0</v>
      </c>
      <c r="AG91" s="733">
        <f>IF(SURF_UTIL&lt;&gt;0,(AM91/SURF_UTIL)*1000,0)</f>
        <v>166.66666666666666</v>
      </c>
      <c r="AI91" s="443">
        <f>SUM(AI84:AI90)</f>
        <v>270</v>
      </c>
      <c r="AK91" s="712">
        <f t="shared" ref="AK91:AP91" si="91">SUM(AK84:AK90)</f>
        <v>222</v>
      </c>
      <c r="AL91" s="712">
        <f t="shared" si="91"/>
        <v>0</v>
      </c>
      <c r="AM91" s="712">
        <f t="shared" si="91"/>
        <v>2</v>
      </c>
      <c r="AN91" s="712">
        <f t="shared" si="91"/>
        <v>266.39999999999998</v>
      </c>
      <c r="AO91" s="712">
        <f t="shared" si="91"/>
        <v>0</v>
      </c>
      <c r="AP91" s="712">
        <f t="shared" si="91"/>
        <v>2.4</v>
      </c>
      <c r="AQ91" s="436"/>
      <c r="AR91" s="532"/>
      <c r="AS91" s="721"/>
      <c r="AU91" s="434" t="s">
        <v>277</v>
      </c>
      <c r="AV91" s="434" t="s">
        <v>277</v>
      </c>
      <c r="AW91" s="483">
        <f t="shared" si="59"/>
        <v>0</v>
      </c>
      <c r="AX91" s="719" t="str">
        <f t="shared" si="55"/>
        <v/>
      </c>
      <c r="AY91" s="434" t="str">
        <f t="shared" si="77"/>
        <v/>
      </c>
      <c r="AZ91" s="434" t="str">
        <f t="shared" si="90"/>
        <v/>
      </c>
      <c r="BA91" s="435">
        <f t="shared" si="57"/>
        <v>0</v>
      </c>
    </row>
    <row r="92" spans="1:53" s="532" customFormat="1" ht="14.1" customHeight="1" thickBot="1">
      <c r="A92" s="722"/>
      <c r="B92" s="723"/>
      <c r="C92" s="444"/>
      <c r="D92" s="444"/>
      <c r="E92" s="444"/>
      <c r="F92" s="444"/>
      <c r="G92" s="724"/>
      <c r="H92" s="723"/>
      <c r="I92" s="436"/>
      <c r="J92" s="444"/>
      <c r="K92" s="436"/>
      <c r="L92" s="436"/>
      <c r="M92" s="436"/>
      <c r="N92" s="699"/>
      <c r="O92" s="737">
        <v>5</v>
      </c>
      <c r="P92" s="726" t="s">
        <v>428</v>
      </c>
      <c r="Q92" s="726"/>
      <c r="R92" s="727"/>
      <c r="S92" s="728">
        <f>T_HONINT_HT+T_HONEXT_HT</f>
        <v>436</v>
      </c>
      <c r="T92" s="729">
        <f>IF(PR_REV.TOT_HT&lt;&gt;0,TOT5HT/PR_REV.TOT_HT,0)</f>
        <v>0.12127955493741308</v>
      </c>
      <c r="U92" s="416">
        <f t="shared" si="65"/>
        <v>523</v>
      </c>
      <c r="V92" s="706" t="str">
        <f t="shared" si="75"/>
        <v>. . . . . . . . . . . . . . . . . . . . . . . . . . . . . . . . . . . . . . . . . . . . . . . . . . . . . . . . . . . . . . . . . . . .</v>
      </c>
      <c r="W92" s="509"/>
      <c r="X92" s="403"/>
      <c r="Y92" s="403"/>
      <c r="Z92" s="509"/>
      <c r="AA92" s="509"/>
      <c r="AB92" s="707"/>
      <c r="AC92" s="730">
        <f>IF($Q$20&lt;&gt;0,TOT5HT/$Q$20*1000,0)</f>
        <v>279.4871794871795</v>
      </c>
      <c r="AD92" s="731">
        <f>IF(SURF_HABIT&lt;&gt;0,AK92/SURF_HABIT*1000,0)</f>
        <v>293.50758510364278</v>
      </c>
      <c r="AE92" s="732">
        <f>IF(NB_LOGT&lt;&gt;0,AK92/NB_LOGT,0)</f>
        <v>19.681818181818183</v>
      </c>
      <c r="AF92" s="732">
        <f>IF($AE$21&lt;&gt;0,AL92/$AE$21,0)</f>
        <v>0</v>
      </c>
      <c r="AG92" s="733">
        <f>IF(SURF_UTIL&lt;&gt;0,(AM92/SURF_UTIL)*1000,0)</f>
        <v>166.66666666666666</v>
      </c>
      <c r="AH92" s="434"/>
      <c r="AI92" s="443">
        <f>AI91+AI83</f>
        <v>523</v>
      </c>
      <c r="AJ92" s="444">
        <f>AI92+AJ68</f>
        <v>4032</v>
      </c>
      <c r="AK92" s="734">
        <f t="shared" ref="AK92:AP92" si="92">AK91+AK83</f>
        <v>433</v>
      </c>
      <c r="AL92" s="734">
        <f t="shared" si="92"/>
        <v>0</v>
      </c>
      <c r="AM92" s="734">
        <f t="shared" si="92"/>
        <v>2</v>
      </c>
      <c r="AN92" s="734">
        <f t="shared" si="92"/>
        <v>519.20000000000005</v>
      </c>
      <c r="AO92" s="734">
        <f t="shared" si="92"/>
        <v>0</v>
      </c>
      <c r="AP92" s="734">
        <f t="shared" si="92"/>
        <v>2.4</v>
      </c>
      <c r="AQ92" s="436"/>
      <c r="AS92" s="735"/>
      <c r="AT92" s="434"/>
      <c r="AU92" s="434" t="s">
        <v>277</v>
      </c>
      <c r="AV92" s="434" t="s">
        <v>277</v>
      </c>
      <c r="AW92" s="483">
        <f t="shared" si="59"/>
        <v>0</v>
      </c>
      <c r="AX92" s="719" t="str">
        <f t="shared" si="55"/>
        <v/>
      </c>
      <c r="AY92" s="434" t="str">
        <f t="shared" si="77"/>
        <v/>
      </c>
      <c r="AZ92" s="434" t="str">
        <f t="shared" si="90"/>
        <v/>
      </c>
      <c r="BA92" s="435">
        <f t="shared" si="57"/>
        <v>0</v>
      </c>
    </row>
    <row r="93" spans="1:53" ht="14.1" customHeight="1" thickBot="1">
      <c r="B93" s="444"/>
      <c r="C93" s="444"/>
      <c r="D93" s="444"/>
      <c r="E93" s="444"/>
      <c r="F93" s="444"/>
      <c r="G93" s="724"/>
      <c r="H93" s="444"/>
      <c r="I93" s="436"/>
      <c r="J93" s="444"/>
      <c r="K93" s="436"/>
      <c r="L93" s="436"/>
      <c r="M93" s="436"/>
      <c r="N93" s="699"/>
      <c r="O93" s="744"/>
      <c r="P93" s="726" t="s">
        <v>60</v>
      </c>
      <c r="Q93" s="726" t="s">
        <v>429</v>
      </c>
      <c r="R93" s="727"/>
      <c r="S93" s="728">
        <f>TOT5HT+TOT1À4HT</f>
        <v>3377</v>
      </c>
      <c r="T93" s="729">
        <f>IF(PR_REV.TOT_HT&lt;&gt;0,TOT1À5HT/PR_REV.TOT_HT,0)</f>
        <v>0.93936022253129348</v>
      </c>
      <c r="U93" s="416">
        <f>U69+U92</f>
        <v>4032</v>
      </c>
      <c r="V93" s="706" t="str">
        <f t="shared" si="75"/>
        <v>. . . . . . . . . . . . . . . . . . . . . . . . . . . . . . . . . . . . . . . . . . . . . . . . . . . . . . . . . . . . . . . . . . . .</v>
      </c>
      <c r="W93" s="509"/>
      <c r="X93" s="403"/>
      <c r="Y93" s="403"/>
      <c r="Z93" s="509"/>
      <c r="AA93" s="509"/>
      <c r="AB93" s="707"/>
      <c r="AC93" s="708" t="s">
        <v>169</v>
      </c>
      <c r="AD93" s="709"/>
      <c r="AE93" s="710"/>
      <c r="AF93" s="710"/>
      <c r="AG93" s="711"/>
      <c r="AK93" s="712">
        <f t="shared" ref="AK93:AP93" si="93">AK92+AK69</f>
        <v>3374</v>
      </c>
      <c r="AL93" s="712">
        <f t="shared" si="93"/>
        <v>0</v>
      </c>
      <c r="AM93" s="712">
        <f t="shared" si="93"/>
        <v>2</v>
      </c>
      <c r="AN93" s="712">
        <f t="shared" si="93"/>
        <v>4028</v>
      </c>
      <c r="AO93" s="712">
        <f t="shared" si="93"/>
        <v>0</v>
      </c>
      <c r="AP93" s="712">
        <f t="shared" si="93"/>
        <v>2.4</v>
      </c>
      <c r="AQ93" s="436"/>
      <c r="AS93" s="735"/>
      <c r="AU93" s="434" t="s">
        <v>277</v>
      </c>
      <c r="AV93" s="434" t="s">
        <v>277</v>
      </c>
      <c r="AW93" s="483">
        <f t="shared" si="59"/>
        <v>0</v>
      </c>
      <c r="AX93" s="719" t="str">
        <f t="shared" si="55"/>
        <v/>
      </c>
      <c r="AY93" s="434" t="str">
        <f t="shared" si="77"/>
        <v/>
      </c>
      <c r="AZ93" s="434" t="str">
        <f t="shared" si="90"/>
        <v/>
      </c>
      <c r="BA93" s="435">
        <f t="shared" si="57"/>
        <v>0</v>
      </c>
    </row>
    <row r="94" spans="1:53" ht="12.9" customHeight="1">
      <c r="A94" s="696">
        <f>IF(OR(ISBLANK(D94),MID(D94,1,1)=" "),IF(OR(ISBLANK(E94),E94=0),,"*"),IF(ISERR(SEARCH(MID(D94,1,1),H94,1)),"*",))</f>
        <v>0</v>
      </c>
      <c r="B94" s="434" t="str">
        <f>O94&amp;" "&amp;P94</f>
        <v>500 Frais financier</v>
      </c>
      <c r="C94" s="436"/>
      <c r="D94" s="697" t="s">
        <v>246</v>
      </c>
      <c r="E94" s="698">
        <v>6</v>
      </c>
      <c r="F94" s="698"/>
      <c r="G94" s="897">
        <f>AT94</f>
        <v>0</v>
      </c>
      <c r="H94" s="434" t="s">
        <v>430</v>
      </c>
      <c r="I94" s="436"/>
      <c r="J94" s="884" t="s">
        <v>528</v>
      </c>
      <c r="K94" s="885"/>
      <c r="L94" s="885"/>
      <c r="M94" s="886"/>
      <c r="N94" s="699"/>
      <c r="O94" s="700">
        <v>500</v>
      </c>
      <c r="P94" s="738" t="s">
        <v>431</v>
      </c>
      <c r="Q94" s="701"/>
      <c r="R94" s="702">
        <f>IF(OR(D94="N",D94="P",D94="Q"),INT(E94)&amp;" "&amp;Sigle_Monnaie,IF(D94="A",,E94/100))</f>
        <v>0</v>
      </c>
      <c r="S94" s="703">
        <f>IF(OR(ISBLANK(D94),MID(D94,1,1)=" "),,ROUND(IF(SEARCH(MID(D94,1,1),H94,1)&gt;0,IF(OR(D94="N",D94="P",D94="Q"),VLOOKUP(MID(D94,1,1),BASE,3)*E94/1000,VLOOKUP(MID(D94,1,1),BASE,3)*E94/100),),0))</f>
        <v>6</v>
      </c>
      <c r="T94" s="745"/>
      <c r="U94" s="705">
        <f>AI94</f>
        <v>6</v>
      </c>
      <c r="V94" s="706" t="str">
        <f t="shared" si="75"/>
        <v>BM,PV TTC - L'écart avec le calcul du PdT doit être &gt;= 0,5% du CA TTC . . . . . . . . . . . . . . . . . . . . . . . . . . . . . . . . . . . . . . . . . . . . . . . . . . . . . . . . . . . . . . . . . . . .</v>
      </c>
      <c r="W94" s="509"/>
      <c r="X94" s="403"/>
      <c r="Y94" s="403"/>
      <c r="Z94" s="509"/>
      <c r="AA94" s="509"/>
      <c r="AB94" s="707"/>
      <c r="AC94" s="708" t="s">
        <v>169</v>
      </c>
      <c r="AD94" s="709" t="s">
        <v>169</v>
      </c>
      <c r="AE94" s="710"/>
      <c r="AF94" s="710"/>
      <c r="AG94" s="736"/>
      <c r="AH94" s="434">
        <f>1+(G94/100)</f>
        <v>1</v>
      </c>
      <c r="AI94" s="443">
        <f>ROUND(S94*AH94,0)</f>
        <v>6</v>
      </c>
      <c r="AK94" s="443">
        <f>IF(OR(ISBLANK(D94),MID(D94,1,1)=" "),,ROUND(IF(SEARCH(MID(D94,1,1),H94,1)&gt;0,VLOOKUP(MID(D94,1,1),BASE,4)*E94/100,),0))</f>
        <v>6</v>
      </c>
      <c r="AL94" s="443">
        <f>IF(OR(ISBLANK(D94),MID(D94,1,1)=" "),,ROUND(IF(SEARCH(MID(D94,1,1),H94,1)&gt;0,VLOOKUP(MID(D94,1,1),BASE,5)*E94/100,),0))</f>
        <v>0</v>
      </c>
      <c r="AM94" s="443">
        <f>IF(OR(ISBLANK(D94),MID(D94,1,1)=" "),,ROUND(IF(SEARCH(MID(D94,1,1),H94,1)&gt;0,VLOOKUP(MID(D94,1,1),BASE,6)*E94/100,),0))</f>
        <v>0</v>
      </c>
      <c r="AN94" s="712">
        <f>AK94*AH94</f>
        <v>6</v>
      </c>
      <c r="AO94" s="712">
        <f>AL94*AH94</f>
        <v>0</v>
      </c>
      <c r="AP94" s="712">
        <f>AM94*AH94</f>
        <v>0</v>
      </c>
      <c r="AQ94" s="436"/>
      <c r="AR94" s="716" t="s">
        <v>290</v>
      </c>
      <c r="AS94" s="717">
        <v>1.6</v>
      </c>
      <c r="AT94" s="718">
        <v>0</v>
      </c>
      <c r="AU94" s="434" t="str">
        <f>IF(S94=0,"SL","LL")</f>
        <v>LL</v>
      </c>
      <c r="AV94" s="434" t="s">
        <v>277</v>
      </c>
      <c r="AW94" s="483">
        <f t="shared" si="59"/>
        <v>0</v>
      </c>
      <c r="AX94" s="719" t="str">
        <f t="shared" si="55"/>
        <v>BM,</v>
      </c>
      <c r="AY94" s="434" t="str">
        <f t="shared" si="77"/>
        <v/>
      </c>
      <c r="AZ94" s="434" t="str">
        <f t="shared" si="90"/>
        <v/>
      </c>
      <c r="BA94" s="435" t="str">
        <f t="shared" si="57"/>
        <v>PV TTC - L'écart avec le calcul du PdT doit être &gt;= 0,5% du CA TTC</v>
      </c>
    </row>
    <row r="95" spans="1:53" ht="12.9" customHeight="1">
      <c r="A95" s="696">
        <f>IF(OR(ISBLANK(D95),MID(D95,1,1)=" "),IF(OR(ISBLANK(E95),E95=0),,"*"),IF(ISERR(SEARCH(MID(D95,1,1),H95,1)),"*",))</f>
        <v>0</v>
      </c>
      <c r="B95" s="434" t="str">
        <f>O95&amp;" "&amp;P95</f>
        <v>504 Intérêts intercalaires</v>
      </c>
      <c r="C95" s="436"/>
      <c r="D95" s="697" t="str">
        <f t="shared" ref="D95:E97" si="94">AR95</f>
        <v>A</v>
      </c>
      <c r="E95" s="698">
        <f t="shared" si="94"/>
        <v>0</v>
      </c>
      <c r="F95" s="698"/>
      <c r="G95" s="897">
        <f>AT95</f>
        <v>0</v>
      </c>
      <c r="H95" s="434" t="s">
        <v>430</v>
      </c>
      <c r="I95" s="436"/>
      <c r="J95" s="884"/>
      <c r="K95" s="885"/>
      <c r="L95" s="885"/>
      <c r="M95" s="886"/>
      <c r="N95" s="699"/>
      <c r="O95" s="700">
        <v>504</v>
      </c>
      <c r="P95" s="738" t="s">
        <v>476</v>
      </c>
      <c r="Q95" s="701"/>
      <c r="R95" s="702">
        <f>IF(OR(D95="N",D95="P",D95="Q"),INT(E95)&amp;" "&amp;Sigle_Monnaie,IF(D95="A",,E95/100))</f>
        <v>0</v>
      </c>
      <c r="S95" s="703">
        <f>IF(OR(ISBLANK(D95),MID(D95,1,1)=" "),,ROUND(IF(SEARCH(MID(D95,1,1),H95,1)&gt;0,IF(OR(D95="N",D95="P",D95="Q"),VLOOKUP(MID(D95,1,1),BASE,3)*E95/1000,VLOOKUP(MID(D95,1,1),BASE,3)*E95/100),),0))</f>
        <v>0</v>
      </c>
      <c r="T95" s="849"/>
      <c r="U95" s="705">
        <f>AI95</f>
        <v>0</v>
      </c>
      <c r="V95" s="706" t="str">
        <f t="shared" si="75"/>
        <v>. . . . . . . . . . . . . . . . . . . . . . . . . . . . . . . . . . . . . . . . . . . . . . . . . . . . . . . . . . . . . . . . . . . .</v>
      </c>
      <c r="W95" s="509"/>
      <c r="X95" s="403"/>
      <c r="Y95" s="403"/>
      <c r="Z95" s="509"/>
      <c r="AA95" s="509"/>
      <c r="AB95" s="707"/>
      <c r="AC95" s="708" t="s">
        <v>169</v>
      </c>
      <c r="AD95" s="709" t="s">
        <v>169</v>
      </c>
      <c r="AE95" s="710"/>
      <c r="AF95" s="710"/>
      <c r="AG95" s="736"/>
      <c r="AH95" s="434">
        <f>1+(G95/100)</f>
        <v>1</v>
      </c>
      <c r="AI95" s="443">
        <f>ROUND(S95*AH95,0)</f>
        <v>0</v>
      </c>
      <c r="AK95" s="443">
        <f>IF(OR(ISBLANK(D95),MID(D95,1,1)=" "),,ROUND(IF(SEARCH(MID(D95,1,1),H95,1)&gt;0,VLOOKUP(MID(D95,1,1),BASE,4)*E95/100,),0))</f>
        <v>0</v>
      </c>
      <c r="AL95" s="443">
        <f>IF(OR(ISBLANK(D95),MID(D95,1,1)=" "),,ROUND(IF(SEARCH(MID(D95,1,1),H95,1)&gt;0,VLOOKUP(MID(D95,1,1),BASE,5)*E95/100,),0))</f>
        <v>0</v>
      </c>
      <c r="AM95" s="443">
        <f>IF(OR(ISBLANK(D95),MID(D95,1,1)=" "),,ROUND(IF(SEARCH(MID(D95,1,1),H95,1)&gt;0,VLOOKUP(MID(D95,1,1),BASE,6)*E95/100,),0))</f>
        <v>0</v>
      </c>
      <c r="AN95" s="712">
        <f>AK95*AH95</f>
        <v>0</v>
      </c>
      <c r="AO95" s="712">
        <f>AL95*AH95</f>
        <v>0</v>
      </c>
      <c r="AP95" s="712">
        <f>AM95*AH95</f>
        <v>0</v>
      </c>
      <c r="AQ95" s="436"/>
      <c r="AR95" s="716" t="s">
        <v>246</v>
      </c>
      <c r="AS95" s="717">
        <v>0</v>
      </c>
      <c r="AT95" s="718">
        <v>0</v>
      </c>
      <c r="AU95" s="434" t="str">
        <f>IF(S95=0,"SL","LL")</f>
        <v>SL</v>
      </c>
      <c r="AV95" s="434" t="s">
        <v>277</v>
      </c>
      <c r="AW95" s="483">
        <f>IF(A95="*",1,0)</f>
        <v>0</v>
      </c>
      <c r="AX95" s="719" t="str">
        <f t="shared" si="55"/>
        <v/>
      </c>
      <c r="AY95" s="434" t="str">
        <f t="shared" si="77"/>
        <v/>
      </c>
      <c r="AZ95" s="434" t="str">
        <f t="shared" si="90"/>
        <v/>
      </c>
      <c r="BA95" s="435">
        <f>J95</f>
        <v>0</v>
      </c>
    </row>
    <row r="96" spans="1:53" ht="12.75" customHeight="1">
      <c r="A96" s="696"/>
      <c r="B96" s="434" t="str">
        <f>O96&amp;" "&amp;P96</f>
        <v>506 G.F.A</v>
      </c>
      <c r="C96" s="436"/>
      <c r="D96" s="697" t="s">
        <v>246</v>
      </c>
      <c r="E96" s="698">
        <v>30</v>
      </c>
      <c r="F96" s="698"/>
      <c r="G96" s="897">
        <f>AT96</f>
        <v>0</v>
      </c>
      <c r="H96" s="434" t="s">
        <v>432</v>
      </c>
      <c r="I96" s="436"/>
      <c r="J96" s="884" t="s">
        <v>534</v>
      </c>
      <c r="K96" s="885"/>
      <c r="L96" s="885"/>
      <c r="M96" s="886"/>
      <c r="N96" s="699"/>
      <c r="O96" s="700">
        <v>506</v>
      </c>
      <c r="P96" s="738" t="s">
        <v>125</v>
      </c>
      <c r="Q96" s="701"/>
      <c r="R96" s="702">
        <f>IF(OR(D96="N",D96="P",D96="Q"),INT(E96)&amp;" "&amp;Sigle_Monnaie,IF(D96="A",,E96/100))</f>
        <v>0</v>
      </c>
      <c r="S96" s="703">
        <f>IF(OR(ISBLANK(D96),MID(D96,1,1)=" "),,ROUND(IF(SEARCH(MID(D96,1,1),H96,1)&gt;0,IF(OR(D96="N",D96="P",D96="Q"),VLOOKUP(MID(D96,1,1),BASE,3)*E96/1000,VLOOKUP(MID(D96,1,1),BASE,3)*E96/100),),0))</f>
        <v>30</v>
      </c>
      <c r="T96" s="746"/>
      <c r="U96" s="705">
        <f>AI96</f>
        <v>30</v>
      </c>
      <c r="V96" s="706" t="str">
        <f t="shared" si="75"/>
        <v>BM,0,25% du CA TTC en cas de vente en bloc . . . . . . . . . . . . . . . . . . . . . . . . . . . . . . . . . . . . . . . . . . . . . . . . . . . . . . . . . . . . . . . . . . . .</v>
      </c>
      <c r="W96" s="509"/>
      <c r="X96" s="403"/>
      <c r="Y96" s="403"/>
      <c r="Z96" s="509"/>
      <c r="AA96" s="509"/>
      <c r="AB96" s="707"/>
      <c r="AC96" s="708" t="s">
        <v>169</v>
      </c>
      <c r="AD96" s="709"/>
      <c r="AE96" s="710"/>
      <c r="AF96" s="710"/>
      <c r="AG96" s="736"/>
      <c r="AH96" s="434">
        <f>1+(G96/100)</f>
        <v>1</v>
      </c>
      <c r="AI96" s="443">
        <f>ROUND(S96*AH96,0)</f>
        <v>30</v>
      </c>
      <c r="AK96" s="443">
        <f>IF(OR(ISBLANK(D96),MID(D96,1,1)=" "),,ROUND(IF(SEARCH(MID(D96,1,1),H96,1)&gt;0,VLOOKUP(MID(D96,1,1),BASE,4)*E96/100,),0))</f>
        <v>30</v>
      </c>
      <c r="AL96" s="443">
        <f>IF(OR(ISBLANK(D96),MID(D96,1,1)=" "),,ROUND(IF(SEARCH(MID(D96,1,1),H96,1)&gt;0,VLOOKUP(MID(D96,1,1),BASE,5)*E96/100,),0))</f>
        <v>0</v>
      </c>
      <c r="AM96" s="443"/>
      <c r="AN96" s="712">
        <f>AK96*AH96</f>
        <v>30</v>
      </c>
      <c r="AO96" s="712">
        <f>AL96*AH96</f>
        <v>0</v>
      </c>
      <c r="AP96" s="712">
        <f>AM96*AH96</f>
        <v>0</v>
      </c>
      <c r="AQ96" s="436"/>
      <c r="AR96" s="716" t="s">
        <v>290</v>
      </c>
      <c r="AS96" s="717">
        <v>0.3</v>
      </c>
      <c r="AT96" s="718">
        <v>0</v>
      </c>
      <c r="AU96" s="434" t="s">
        <v>277</v>
      </c>
      <c r="AV96" s="434" t="s">
        <v>277</v>
      </c>
      <c r="AW96" s="483">
        <f t="shared" si="59"/>
        <v>0</v>
      </c>
      <c r="AX96" s="719" t="str">
        <f t="shared" si="55"/>
        <v>BM,</v>
      </c>
      <c r="AY96" s="434" t="str">
        <f t="shared" si="77"/>
        <v/>
      </c>
      <c r="AZ96" s="434" t="str">
        <f t="shared" si="90"/>
        <v/>
      </c>
      <c r="BA96" s="435" t="str">
        <f>J96</f>
        <v>0,25% du CA TTC en cas de vente en bloc</v>
      </c>
    </row>
    <row r="97" spans="1:53" ht="13.8" thickBot="1">
      <c r="A97" s="696">
        <f>IF(OR(ISBLANK(D97),MID(D97,1,1)=" "),IF(OR(ISBLANK(E97),E97=0),,"*"),IF(ISERR(SEARCH(MID(D97,1,1),H97,1)),"*",))</f>
        <v>0</v>
      </c>
      <c r="B97" s="846" t="s">
        <v>590</v>
      </c>
      <c r="C97" s="845"/>
      <c r="D97" s="697" t="str">
        <f t="shared" si="94"/>
        <v>A</v>
      </c>
      <c r="E97" s="698">
        <v>30</v>
      </c>
      <c r="F97" s="698"/>
      <c r="G97" s="897">
        <v>20</v>
      </c>
      <c r="H97" s="434" t="s">
        <v>246</v>
      </c>
      <c r="I97" s="436"/>
      <c r="J97" s="884"/>
      <c r="K97" s="885"/>
      <c r="L97" s="885"/>
      <c r="M97" s="886"/>
      <c r="N97" s="699"/>
      <c r="O97" s="700" t="str">
        <f>"   "&amp;B97</f>
        <v xml:space="preserve">   Commissions + frais de dossier</v>
      </c>
      <c r="P97" s="638"/>
      <c r="Q97" s="701"/>
      <c r="R97" s="702">
        <f>IF(OR(D97="N",D97="P",D97="Q"),INT(E97)&amp;" "&amp;Sigle_Monnaie,IF(D97="A",,E97/100))</f>
        <v>0</v>
      </c>
      <c r="S97" s="703">
        <f>IF(OR(ISBLANK(D97),MID(D97,1,1)=" "),,ROUND(IF(SEARCH(MID(D97,1,1),H97,1)&gt;0,IF(OR(D97="N",D97="P",D97="Q"),VLOOKUP(MID(D97,1,1),BASE,3)*E97/1000,VLOOKUP(MID(D97,1,1),BASE,3)*E97/100),),0))</f>
        <v>30</v>
      </c>
      <c r="T97" s="701"/>
      <c r="U97" s="705">
        <f>AI97</f>
        <v>36</v>
      </c>
      <c r="V97" s="706" t="str">
        <f t="shared" si="75"/>
        <v>TVA 20. . . . . . . . . . . . . . . . . . . . . . . . . . . . . . . . . . . . . . . . . . . . . . . . . . . . . . . . . . . . . . . . . . . .</v>
      </c>
      <c r="W97" s="509"/>
      <c r="X97" s="403"/>
      <c r="Y97" s="403"/>
      <c r="Z97" s="509"/>
      <c r="AA97" s="509"/>
      <c r="AB97" s="707"/>
      <c r="AC97" s="708" t="s">
        <v>169</v>
      </c>
      <c r="AD97" s="709" t="s">
        <v>169</v>
      </c>
      <c r="AE97" s="710"/>
      <c r="AF97" s="710"/>
      <c r="AG97" s="736"/>
      <c r="AH97" s="434">
        <f>1+(G97/100)</f>
        <v>1.2</v>
      </c>
      <c r="AI97" s="443">
        <f>ROUND(S97*AH97,0)</f>
        <v>36</v>
      </c>
      <c r="AK97" s="443">
        <f>IF(OR(ISBLANK(D97),MID(D97,1,1)=" "),,ROUND(IF(SEARCH(MID(D97,1,1),H97,1)&gt;0,VLOOKUP(MID(D97,1,1),BASE,4)*E97/100,),0))</f>
        <v>30</v>
      </c>
      <c r="AL97" s="443">
        <f>IF(OR(ISBLANK(D97),MID(D97,1,1)=" "),,ROUND(IF(SEARCH(MID(D97,1,1),H97,1)&gt;0,VLOOKUP(MID(D97,1,1),BASE,5)*E97/100,),0))</f>
        <v>0</v>
      </c>
      <c r="AM97" s="443">
        <f>IF(OR(ISBLANK(D97),MID(D97,1,1)=" "),,ROUND(IF(SEARCH(MID(D97,1,1),H97,1)&gt;0,VLOOKUP(MID(D97,1,1),BASE,6)*E97/100,),0))</f>
        <v>0</v>
      </c>
      <c r="AN97" s="712">
        <f>AK97*AH97</f>
        <v>36</v>
      </c>
      <c r="AO97" s="712">
        <f>AL97*AH97</f>
        <v>0</v>
      </c>
      <c r="AP97" s="712">
        <f>AM97*AH97</f>
        <v>0</v>
      </c>
      <c r="AQ97" s="436"/>
      <c r="AR97" s="453" t="s">
        <v>246</v>
      </c>
      <c r="AS97" s="717">
        <v>0</v>
      </c>
      <c r="AT97" s="434">
        <v>19.600000000000001</v>
      </c>
      <c r="AU97" s="434" t="str">
        <f>IF(S97=0,"SL","LL")</f>
        <v>LL</v>
      </c>
      <c r="AV97" s="434" t="s">
        <v>277</v>
      </c>
      <c r="AW97" s="483">
        <f t="shared" si="59"/>
        <v>0</v>
      </c>
      <c r="AX97" s="719" t="str">
        <f t="shared" si="55"/>
        <v/>
      </c>
      <c r="AZ97" s="434" t="str">
        <f t="shared" si="90"/>
        <v>TVA 20</v>
      </c>
      <c r="BA97" s="435">
        <f t="shared" ref="BA97:BA109" si="95">J97</f>
        <v>0</v>
      </c>
    </row>
    <row r="98" spans="1:53" s="532" customFormat="1" ht="14.1" customHeight="1" thickBot="1">
      <c r="A98" s="722"/>
      <c r="B98" s="723"/>
      <c r="C98" s="444"/>
      <c r="D98" s="444"/>
      <c r="E98" s="444"/>
      <c r="F98" s="444"/>
      <c r="G98" s="724"/>
      <c r="H98" s="723"/>
      <c r="I98" s="436"/>
      <c r="J98" s="444"/>
      <c r="K98" s="436"/>
      <c r="L98" s="436"/>
      <c r="M98" s="436"/>
      <c r="N98" s="699"/>
      <c r="O98" s="737">
        <v>6</v>
      </c>
      <c r="P98" s="726" t="s">
        <v>433</v>
      </c>
      <c r="Q98" s="726"/>
      <c r="R98" s="727"/>
      <c r="S98" s="728">
        <f>SUM(S94:S97)</f>
        <v>66</v>
      </c>
      <c r="T98" s="729">
        <f>IF(PR_REV.TOT_HT&lt;&gt;0,TOT6HT/PR_REV.TOT_HT,0)</f>
        <v>1.8358831710709317E-2</v>
      </c>
      <c r="U98" s="416">
        <f>AI98</f>
        <v>72</v>
      </c>
      <c r="V98" s="706" t="str">
        <f t="shared" si="75"/>
        <v>. . . . . . . . . . . . . . . . . . . . . . . . . . . . . . . . . . . . . . . . . . . . . . . . . . . . . . . . . . . . . . . . . . . .</v>
      </c>
      <c r="W98" s="509"/>
      <c r="X98" s="403"/>
      <c r="Y98" s="403"/>
      <c r="Z98" s="509"/>
      <c r="AA98" s="509"/>
      <c r="AB98" s="707"/>
      <c r="AC98" s="730">
        <f>IF($Q$20&lt;&gt;0,TOT6HT/$Q$20*1000,0)</f>
        <v>42.307692307692307</v>
      </c>
      <c r="AD98" s="731">
        <f>IF(SURF_HABIT&lt;&gt;0,AK98/SURF_HABIT*1000,0)</f>
        <v>44.737876713257322</v>
      </c>
      <c r="AE98" s="732">
        <f>IF(NB_LOGT&lt;&gt;0,AK98/NB_LOGT,0)</f>
        <v>3</v>
      </c>
      <c r="AF98" s="732">
        <f>IF($AE$21&lt;&gt;0,AL98/$AE$21,0)</f>
        <v>0</v>
      </c>
      <c r="AG98" s="733">
        <f>IF(SURF_UTIL&lt;&gt;0,(AM98/SURF_UTIL)*1000,0)</f>
        <v>0</v>
      </c>
      <c r="AH98" s="434"/>
      <c r="AI98" s="443">
        <f>SUM(AI94:AI97)</f>
        <v>72</v>
      </c>
      <c r="AJ98" s="444">
        <f>AI98+AJ92</f>
        <v>4104</v>
      </c>
      <c r="AK98" s="734">
        <f t="shared" ref="AK98:AP98" si="96">SUM(AK94:AK97)</f>
        <v>66</v>
      </c>
      <c r="AL98" s="734">
        <f t="shared" si="96"/>
        <v>0</v>
      </c>
      <c r="AM98" s="734">
        <f t="shared" si="96"/>
        <v>0</v>
      </c>
      <c r="AN98" s="734">
        <f t="shared" si="96"/>
        <v>72</v>
      </c>
      <c r="AO98" s="734">
        <f t="shared" si="96"/>
        <v>0</v>
      </c>
      <c r="AP98" s="734">
        <f t="shared" si="96"/>
        <v>0</v>
      </c>
      <c r="AQ98" s="436"/>
      <c r="AS98" s="735"/>
      <c r="AT98" s="434"/>
      <c r="AU98" s="434" t="s">
        <v>277</v>
      </c>
      <c r="AV98" s="434" t="s">
        <v>277</v>
      </c>
      <c r="AW98" s="483">
        <f t="shared" si="59"/>
        <v>0</v>
      </c>
      <c r="AX98" s="719" t="str">
        <f t="shared" si="55"/>
        <v/>
      </c>
      <c r="AY98" s="434" t="str">
        <f t="shared" ref="AY98:AY106" si="97">IF(AND(D98&lt;&gt;"A",E98&lt;&gt;AS98),"TM,","")</f>
        <v/>
      </c>
      <c r="AZ98" s="434" t="str">
        <f t="shared" si="90"/>
        <v/>
      </c>
      <c r="BA98" s="435">
        <f t="shared" si="95"/>
        <v>0</v>
      </c>
    </row>
    <row r="99" spans="1:53" ht="14.1" customHeight="1" thickBot="1">
      <c r="B99" s="444"/>
      <c r="C99" s="444"/>
      <c r="D99" s="444"/>
      <c r="E99" s="444"/>
      <c r="F99" s="444"/>
      <c r="G99" s="724"/>
      <c r="H99" s="444"/>
      <c r="I99" s="436"/>
      <c r="J99" s="444"/>
      <c r="K99" s="436"/>
      <c r="L99" s="436"/>
      <c r="M99" s="436"/>
      <c r="N99" s="699"/>
      <c r="O99" s="744"/>
      <c r="P99" s="726" t="s">
        <v>60</v>
      </c>
      <c r="Q99" s="726" t="s">
        <v>434</v>
      </c>
      <c r="R99" s="727"/>
      <c r="S99" s="728">
        <f>TOT6HT+TOT1À5HT</f>
        <v>3443</v>
      </c>
      <c r="T99" s="729">
        <f>IF(PR_REV.TOT_HT&lt;&gt;0,TOT1À6HT/PR_REV.TOT_HT,0)</f>
        <v>0.95771905424200277</v>
      </c>
      <c r="U99" s="416">
        <f>U93+U98</f>
        <v>4104</v>
      </c>
      <c r="V99" s="706" t="str">
        <f t="shared" si="75"/>
        <v>. . . . . . . . . . . . . . . . . . . . . . . . . . . . . . . . . . . . . . . . . . . . . . . . . . . . . . . . . . . . . . . . . . . .</v>
      </c>
      <c r="W99" s="509"/>
      <c r="X99" s="403"/>
      <c r="Y99" s="403"/>
      <c r="Z99" s="509"/>
      <c r="AA99" s="509"/>
      <c r="AB99" s="509"/>
      <c r="AC99" s="708" t="s">
        <v>169</v>
      </c>
      <c r="AD99" s="709"/>
      <c r="AE99" s="710"/>
      <c r="AF99" s="710"/>
      <c r="AG99" s="711"/>
      <c r="AK99" s="712">
        <f t="shared" ref="AK99:AP99" si="98">AK93+AK98</f>
        <v>3440</v>
      </c>
      <c r="AL99" s="712">
        <f t="shared" si="98"/>
        <v>0</v>
      </c>
      <c r="AM99" s="712">
        <f t="shared" si="98"/>
        <v>2</v>
      </c>
      <c r="AN99" s="712">
        <f t="shared" si="98"/>
        <v>4100</v>
      </c>
      <c r="AO99" s="712">
        <f t="shared" si="98"/>
        <v>0</v>
      </c>
      <c r="AP99" s="712">
        <f t="shared" si="98"/>
        <v>2.4</v>
      </c>
      <c r="AQ99" s="436"/>
      <c r="AS99" s="735"/>
      <c r="AU99" s="434" t="s">
        <v>277</v>
      </c>
      <c r="AV99" s="434" t="s">
        <v>277</v>
      </c>
      <c r="AW99" s="483">
        <f t="shared" si="59"/>
        <v>0</v>
      </c>
      <c r="AX99" s="719" t="str">
        <f t="shared" si="55"/>
        <v/>
      </c>
      <c r="AY99" s="434" t="str">
        <f t="shared" si="97"/>
        <v/>
      </c>
      <c r="AZ99" s="434" t="str">
        <f t="shared" si="90"/>
        <v/>
      </c>
      <c r="BA99" s="435">
        <f t="shared" si="95"/>
        <v>0</v>
      </c>
    </row>
    <row r="100" spans="1:53" ht="12.9" customHeight="1">
      <c r="A100" s="696">
        <f>IF(OR(ISBLANK(D100),MID(D100,1,1)=" "),IF(OR(ISBLANK(E100),E100=0),,"*"),IF(ISERR(SEARCH(MID(D100,1,1),H100,1)),"*",))</f>
        <v>0</v>
      </c>
      <c r="B100" s="434" t="str">
        <f t="shared" ref="B100:B105" si="99">O100&amp;" "&amp;P100</f>
        <v>510 Hon. commerciaux</v>
      </c>
      <c r="C100" s="436"/>
      <c r="D100" s="678" t="str">
        <f t="shared" ref="D100:E104" si="100">AR100</f>
        <v>A</v>
      </c>
      <c r="E100" s="1012">
        <f t="shared" si="100"/>
        <v>64.2928</v>
      </c>
      <c r="F100" s="1012"/>
      <c r="G100" s="1171">
        <f t="shared" ref="G100:G105" si="101">AT100</f>
        <v>19.600000000000001</v>
      </c>
      <c r="H100" s="434" t="s">
        <v>435</v>
      </c>
      <c r="I100" s="436"/>
      <c r="J100" s="1015"/>
      <c r="K100" s="1016"/>
      <c r="L100" s="1016"/>
      <c r="M100" s="1017"/>
      <c r="N100" s="699"/>
      <c r="O100" s="700">
        <v>510</v>
      </c>
      <c r="P100" s="738" t="s">
        <v>436</v>
      </c>
      <c r="Q100" s="701"/>
      <c r="R100" s="702">
        <f t="shared" ref="R100:R105" si="102">IF(OR(D100="N",D100="P",D100="Q"),INT(E100)&amp;" "&amp;Sigle_Monnaie,IF(D100="A",,E100/100))</f>
        <v>0</v>
      </c>
      <c r="S100" s="703">
        <f t="shared" ref="S100:S105" si="103">IF(OR(ISBLANK(D100),MID(D100,1,1)=" "),,ROUND(IF(SEARCH(MID(D100,1,1),H100,1)&gt;0,IF(OR(D100="N",D100="P",D100="Q"),VLOOKUP(MID(D100,1,1),BASE,3)*E100/1000,VLOOKUP(MID(D100,1,1),BASE,3)*E100/100),),0))</f>
        <v>64</v>
      </c>
      <c r="T100" s="745"/>
      <c r="U100" s="705">
        <f t="shared" ref="U100:U106" si="104">AI100</f>
        <v>77</v>
      </c>
      <c r="V100" s="706" t="str">
        <f t="shared" si="75"/>
        <v>. . . . . . . . . . . . . . . . . . . . . . . . . . . . . . . . . . . . . . . . . . . . . . . . . . . . . . . . . . . . . . . . . . . .</v>
      </c>
      <c r="W100" s="509"/>
      <c r="X100" s="403"/>
      <c r="Y100" s="403"/>
      <c r="Z100" s="509"/>
      <c r="AA100" s="509"/>
      <c r="AB100" s="707"/>
      <c r="AC100" s="708" t="s">
        <v>169</v>
      </c>
      <c r="AD100" s="709" t="s">
        <v>169</v>
      </c>
      <c r="AE100" s="710"/>
      <c r="AF100" s="710"/>
      <c r="AG100" s="711" t="s">
        <v>169</v>
      </c>
      <c r="AH100" s="434">
        <f t="shared" ref="AH100:AH105" si="105">1+(G100/100)</f>
        <v>1.196</v>
      </c>
      <c r="AI100" s="443">
        <f t="shared" ref="AI100:AI105" si="106">ROUND(S100*AH100,0)</f>
        <v>77</v>
      </c>
      <c r="AK100" s="443">
        <f t="shared" ref="AK100:AK105" si="107">IF(OR(ISBLANK(D100),MID(D100,1,1)=" "),,ROUND(IF(SEARCH(MID(D100,1,1),H100,1)&gt;0,VLOOKUP(MID(D100,1,1),BASE,4)*E100/100,),0))</f>
        <v>64</v>
      </c>
      <c r="AL100" s="443">
        <f t="shared" ref="AL100:AL105" si="108">IF(OR(ISBLANK(D100),MID(D100,1,1)=" "),,ROUND(IF(SEARCH(MID(D100,1,1),H100,1)&gt;0,VLOOKUP(MID(D100,1,1),BASE,5)*E100/100,),0))</f>
        <v>0</v>
      </c>
      <c r="AM100" s="443">
        <f t="shared" ref="AM100:AM105" si="109">IF(OR(ISBLANK(D100),MID(D100,1,1)=" "),,ROUND(IF(SEARCH(MID(D100,1,1),H100,1)&gt;0,VLOOKUP(MID(D100,1,1),BASE,6)*E100/100,),0))</f>
        <v>0</v>
      </c>
      <c r="AN100" s="712">
        <f t="shared" ref="AN100:AN105" si="110">AK100*AH100</f>
        <v>76.543999999999997</v>
      </c>
      <c r="AO100" s="712">
        <f t="shared" ref="AO100:AO105" si="111">AL100*AH100</f>
        <v>0</v>
      </c>
      <c r="AP100" s="712">
        <f t="shared" ref="AP100:AP105" si="112">AM100*AH100</f>
        <v>0</v>
      </c>
      <c r="AQ100" s="436"/>
      <c r="AR100" s="716" t="s">
        <v>246</v>
      </c>
      <c r="AS100" s="717">
        <f>F155</f>
        <v>64.2928</v>
      </c>
      <c r="AT100" s="434">
        <v>19.600000000000001</v>
      </c>
      <c r="AU100" s="434" t="str">
        <f t="shared" ref="AU100:AU105" si="113">IF(S100=0,"SL","LL")</f>
        <v>LL</v>
      </c>
      <c r="AV100" s="434" t="s">
        <v>277</v>
      </c>
      <c r="AW100" s="483">
        <f t="shared" si="59"/>
        <v>0</v>
      </c>
      <c r="AX100" s="719" t="str">
        <f t="shared" si="55"/>
        <v/>
      </c>
      <c r="AY100" s="434" t="str">
        <f t="shared" si="97"/>
        <v/>
      </c>
      <c r="AZ100" s="434" t="str">
        <f t="shared" si="90"/>
        <v/>
      </c>
      <c r="BA100" s="435">
        <f t="shared" si="95"/>
        <v>0</v>
      </c>
    </row>
    <row r="101" spans="1:53" ht="12.9" customHeight="1">
      <c r="A101" s="696"/>
      <c r="B101" s="434" t="str">
        <f t="shared" si="99"/>
        <v>511 Hon. commer. Exter.</v>
      </c>
      <c r="C101" s="436"/>
      <c r="D101" s="678" t="str">
        <f t="shared" si="100"/>
        <v>A</v>
      </c>
      <c r="E101" s="1012">
        <f t="shared" si="100"/>
        <v>37.766400000000004</v>
      </c>
      <c r="F101" s="1012"/>
      <c r="G101" s="1171">
        <f t="shared" si="101"/>
        <v>19.600000000000001</v>
      </c>
      <c r="H101" s="434" t="s">
        <v>435</v>
      </c>
      <c r="I101" s="436"/>
      <c r="J101" s="1015"/>
      <c r="K101" s="1016"/>
      <c r="L101" s="1016"/>
      <c r="M101" s="1017"/>
      <c r="N101" s="699"/>
      <c r="O101" s="700">
        <v>511</v>
      </c>
      <c r="P101" s="738" t="s">
        <v>437</v>
      </c>
      <c r="Q101" s="701"/>
      <c r="R101" s="702">
        <f t="shared" si="102"/>
        <v>0</v>
      </c>
      <c r="S101" s="703">
        <f t="shared" si="103"/>
        <v>38</v>
      </c>
      <c r="T101" s="746"/>
      <c r="U101" s="705">
        <f t="shared" si="104"/>
        <v>45</v>
      </c>
      <c r="V101" s="706" t="str">
        <f t="shared" si="75"/>
        <v>. . . . . . . . . . . . . . . . . . . . . . . . . . . . . . . . . . . . . . . . . . . . . . . . . . . . . . . . . . . . . . . . . . . .</v>
      </c>
      <c r="W101" s="509"/>
      <c r="X101" s="403"/>
      <c r="Y101" s="403"/>
      <c r="Z101" s="509"/>
      <c r="AA101" s="509"/>
      <c r="AB101" s="509"/>
      <c r="AC101" s="708" t="s">
        <v>169</v>
      </c>
      <c r="AD101" s="709"/>
      <c r="AE101" s="710"/>
      <c r="AF101" s="710"/>
      <c r="AG101" s="736"/>
      <c r="AH101" s="434">
        <f t="shared" si="105"/>
        <v>1.196</v>
      </c>
      <c r="AI101" s="443">
        <f t="shared" si="106"/>
        <v>45</v>
      </c>
      <c r="AK101" s="443">
        <f t="shared" si="107"/>
        <v>38</v>
      </c>
      <c r="AL101" s="443">
        <f t="shared" si="108"/>
        <v>0</v>
      </c>
      <c r="AM101" s="443">
        <f t="shared" si="109"/>
        <v>0</v>
      </c>
      <c r="AN101" s="712">
        <f t="shared" si="110"/>
        <v>45.448</v>
      </c>
      <c r="AO101" s="712">
        <f t="shared" si="111"/>
        <v>0</v>
      </c>
      <c r="AP101" s="712">
        <f t="shared" si="112"/>
        <v>0</v>
      </c>
      <c r="AQ101" s="436"/>
      <c r="AR101" s="1" t="s">
        <v>246</v>
      </c>
      <c r="AS101" s="748">
        <f>H155</f>
        <v>37.766400000000004</v>
      </c>
      <c r="AT101" s="434">
        <v>19.600000000000001</v>
      </c>
      <c r="AU101" s="434" t="str">
        <f t="shared" si="113"/>
        <v>LL</v>
      </c>
      <c r="AV101" s="434" t="s">
        <v>277</v>
      </c>
      <c r="AW101" s="483">
        <f t="shared" si="59"/>
        <v>0</v>
      </c>
      <c r="AX101" s="719" t="str">
        <f t="shared" si="55"/>
        <v/>
      </c>
      <c r="AY101" s="434" t="str">
        <f t="shared" si="97"/>
        <v/>
      </c>
      <c r="AZ101" s="434" t="str">
        <f t="shared" si="90"/>
        <v/>
      </c>
      <c r="BA101" s="435">
        <f t="shared" si="95"/>
        <v>0</v>
      </c>
    </row>
    <row r="102" spans="1:53" ht="12.9" customHeight="1">
      <c r="A102" s="696">
        <f>IF(OR(ISBLANK(D102),MID(D102,1,1)=" "),IF(OR(ISBLANK(E102),E102=0),,"*"),IF(ISERR(SEARCH(MID(D102,1,1),H102,1)),"*",))</f>
        <v>0</v>
      </c>
      <c r="B102" s="434" t="str">
        <f t="shared" si="99"/>
        <v>519 Publicité nationale</v>
      </c>
      <c r="C102" s="483"/>
      <c r="D102" s="697" t="str">
        <f>AR102</f>
        <v>U</v>
      </c>
      <c r="E102" s="698"/>
      <c r="F102" s="698"/>
      <c r="G102" s="897">
        <f t="shared" si="101"/>
        <v>19.600000000000001</v>
      </c>
      <c r="H102" s="434" t="s">
        <v>435</v>
      </c>
      <c r="I102" s="436"/>
      <c r="J102" s="884"/>
      <c r="K102" s="885"/>
      <c r="L102" s="885"/>
      <c r="M102" s="886"/>
      <c r="N102" s="699"/>
      <c r="O102" s="700">
        <v>519</v>
      </c>
      <c r="P102" s="638" t="s">
        <v>539</v>
      </c>
      <c r="Q102" s="701"/>
      <c r="R102" s="702">
        <f t="shared" si="102"/>
        <v>0</v>
      </c>
      <c r="S102" s="703">
        <f t="shared" si="103"/>
        <v>0</v>
      </c>
      <c r="T102" s="701"/>
      <c r="U102" s="705">
        <f>AI102</f>
        <v>0</v>
      </c>
      <c r="V102" s="706" t="str">
        <f>IF(OR(ISBLANK(BA102),BA102=0),IF(OR(ISBLANK(D102),MID(D102,1,1)=" ",D102="A"),AX102&amp;AY102&amp;AZ102&amp;LIB_BLANC,IF(SEARCH(MID(D102,1,1),D102,1)&gt;0,AX102&amp;AY102&amp;AZ102&amp;VLOOKUP(MID(D102,1,1),BASE,2),)),AX102&amp;AY102&amp;AZ102&amp;BA102&amp;" "&amp;LIB_BLANC)</f>
        <v>TM,PV TTC - PV TTC Autres  . . . . . . . . . . . . . . . . . . . . . . . . . . . . . . . . . . . . . . . . . . . . . . . . . . . . . . . . . . . . .</v>
      </c>
      <c r="W102" s="509"/>
      <c r="X102" s="403"/>
      <c r="Y102" s="403"/>
      <c r="Z102" s="509"/>
      <c r="AA102" s="509"/>
      <c r="AB102" s="707"/>
      <c r="AC102" s="708" t="s">
        <v>169</v>
      </c>
      <c r="AD102" s="709" t="s">
        <v>169</v>
      </c>
      <c r="AE102" s="710"/>
      <c r="AF102" s="710"/>
      <c r="AG102" s="736"/>
      <c r="AH102" s="434">
        <f t="shared" si="105"/>
        <v>1.196</v>
      </c>
      <c r="AI102" s="443">
        <f t="shared" si="106"/>
        <v>0</v>
      </c>
      <c r="AK102" s="443">
        <f t="shared" si="107"/>
        <v>0</v>
      </c>
      <c r="AL102" s="443">
        <f t="shared" si="108"/>
        <v>0</v>
      </c>
      <c r="AM102" s="443">
        <f t="shared" si="109"/>
        <v>0</v>
      </c>
      <c r="AN102" s="712">
        <f t="shared" si="110"/>
        <v>0</v>
      </c>
      <c r="AO102" s="712">
        <f t="shared" si="111"/>
        <v>0</v>
      </c>
      <c r="AP102" s="712">
        <f t="shared" si="112"/>
        <v>0</v>
      </c>
      <c r="AQ102" s="436"/>
      <c r="AR102" s="646" t="s">
        <v>339</v>
      </c>
      <c r="AS102" s="721">
        <v>0.4</v>
      </c>
      <c r="AT102" s="434">
        <v>19.600000000000001</v>
      </c>
      <c r="AU102" s="434" t="str">
        <f t="shared" si="113"/>
        <v>SL</v>
      </c>
      <c r="AV102" s="434" t="s">
        <v>277</v>
      </c>
      <c r="AW102" s="483">
        <f>IF(A102="*",1,0)</f>
        <v>0</v>
      </c>
      <c r="AX102" s="719" t="str">
        <f>IF(D102&lt;&gt;AR102,"BM,","")</f>
        <v/>
      </c>
      <c r="AY102" s="434" t="str">
        <f>IF(AND(D102&lt;&gt;"A",E102&lt;&gt;AS102),"TM,","")</f>
        <v>TM,</v>
      </c>
      <c r="AZ102" s="434" t="str">
        <f>IF(G102&lt;&gt;AT102,IF(G102=0,"TVA 0,00","TVA "&amp;G102),"")</f>
        <v/>
      </c>
      <c r="BA102" s="435">
        <f>J102</f>
        <v>0</v>
      </c>
    </row>
    <row r="103" spans="1:53" ht="12.9" customHeight="1">
      <c r="A103" s="696">
        <f>IF(OR(ISBLANK(D103),MID(D103,1,1)=" "),IF(OR(ISBLANK(E103),E103=0),,"*"),IF(ISERR(SEARCH(MID(D103,1,1),H103,1)),"*",))</f>
        <v>0</v>
      </c>
      <c r="B103" s="434" t="str">
        <f t="shared" si="99"/>
        <v>520 Publicité</v>
      </c>
      <c r="C103" s="483"/>
      <c r="D103" s="697" t="s">
        <v>246</v>
      </c>
      <c r="E103" s="698">
        <v>50</v>
      </c>
      <c r="F103" s="698"/>
      <c r="G103" s="897">
        <f t="shared" si="101"/>
        <v>19.600000000000001</v>
      </c>
      <c r="H103" s="434" t="s">
        <v>435</v>
      </c>
      <c r="I103" s="436"/>
      <c r="J103" s="884"/>
      <c r="K103" s="885"/>
      <c r="L103" s="885"/>
      <c r="M103" s="886"/>
      <c r="N103" s="699"/>
      <c r="O103" s="700">
        <v>520</v>
      </c>
      <c r="P103" s="638" t="s">
        <v>438</v>
      </c>
      <c r="Q103" s="701"/>
      <c r="R103" s="702">
        <f t="shared" si="102"/>
        <v>0</v>
      </c>
      <c r="S103" s="703">
        <f t="shared" si="103"/>
        <v>50</v>
      </c>
      <c r="T103" s="701"/>
      <c r="U103" s="705">
        <f t="shared" si="104"/>
        <v>60</v>
      </c>
      <c r="V103" s="706" t="str">
        <f t="shared" si="75"/>
        <v>BM,. . . . . . . . . . . . . . . . . . . . . . . . . . . . . . . . . . . . . . . . . . . . . . . . . . . . . . . . . . . . . . . . . . . .</v>
      </c>
      <c r="W103" s="509"/>
      <c r="X103" s="403"/>
      <c r="Y103" s="403"/>
      <c r="Z103" s="509"/>
      <c r="AA103" s="509"/>
      <c r="AB103" s="707"/>
      <c r="AC103" s="708" t="s">
        <v>169</v>
      </c>
      <c r="AD103" s="709" t="s">
        <v>169</v>
      </c>
      <c r="AE103" s="710"/>
      <c r="AF103" s="710"/>
      <c r="AG103" s="736"/>
      <c r="AH103" s="434">
        <f t="shared" si="105"/>
        <v>1.196</v>
      </c>
      <c r="AI103" s="443">
        <f t="shared" si="106"/>
        <v>60</v>
      </c>
      <c r="AK103" s="443">
        <f t="shared" si="107"/>
        <v>50</v>
      </c>
      <c r="AL103" s="443">
        <f t="shared" si="108"/>
        <v>0</v>
      </c>
      <c r="AM103" s="443">
        <f t="shared" si="109"/>
        <v>0</v>
      </c>
      <c r="AN103" s="712">
        <f t="shared" si="110"/>
        <v>59.8</v>
      </c>
      <c r="AO103" s="712">
        <f t="shared" si="111"/>
        <v>0</v>
      </c>
      <c r="AP103" s="712">
        <f t="shared" si="112"/>
        <v>0</v>
      </c>
      <c r="AQ103" s="436"/>
      <c r="AR103" s="646" t="s">
        <v>339</v>
      </c>
      <c r="AS103" s="721">
        <v>1.6</v>
      </c>
      <c r="AT103" s="434">
        <v>19.600000000000001</v>
      </c>
      <c r="AU103" s="434" t="str">
        <f t="shared" si="113"/>
        <v>LL</v>
      </c>
      <c r="AV103" s="434" t="s">
        <v>277</v>
      </c>
      <c r="AW103" s="483">
        <f t="shared" si="59"/>
        <v>0</v>
      </c>
      <c r="AX103" s="719" t="str">
        <f t="shared" si="55"/>
        <v>BM,</v>
      </c>
      <c r="AY103" s="434" t="str">
        <f t="shared" si="97"/>
        <v/>
      </c>
      <c r="AZ103" s="434" t="str">
        <f t="shared" si="90"/>
        <v/>
      </c>
      <c r="BA103" s="435">
        <f>J103</f>
        <v>0</v>
      </c>
    </row>
    <row r="104" spans="1:53" ht="12.9" customHeight="1">
      <c r="A104" s="696">
        <f>IF(OR(ISBLANK(D104),MID(D104,1,1)=" "),IF(OR(ISBLANK(E104),E104=0),,"*"),IF(ISERR(SEARCH(MID(D104,1,1),H104,1)),"*",))</f>
        <v>0</v>
      </c>
      <c r="B104" s="434" t="str">
        <f t="shared" si="99"/>
        <v>521 Services marketing</v>
      </c>
      <c r="C104" s="483"/>
      <c r="D104" s="697" t="str">
        <f t="shared" si="100"/>
        <v>H</v>
      </c>
      <c r="E104" s="698"/>
      <c r="F104" s="698"/>
      <c r="G104" s="897">
        <f t="shared" si="101"/>
        <v>19.600000000000001</v>
      </c>
      <c r="H104" s="434" t="s">
        <v>503</v>
      </c>
      <c r="I104" s="436"/>
      <c r="J104" s="884"/>
      <c r="K104" s="885"/>
      <c r="L104" s="885"/>
      <c r="M104" s="886"/>
      <c r="N104" s="699"/>
      <c r="O104" s="700">
        <v>521</v>
      </c>
      <c r="P104" s="638" t="s">
        <v>524</v>
      </c>
      <c r="Q104" s="701"/>
      <c r="R104" s="702">
        <f t="shared" si="102"/>
        <v>0</v>
      </c>
      <c r="S104" s="703">
        <f t="shared" si="103"/>
        <v>0</v>
      </c>
      <c r="T104" s="701"/>
      <c r="U104" s="705">
        <f t="shared" si="104"/>
        <v>0</v>
      </c>
      <c r="V104" s="706" t="str">
        <f t="shared" si="75"/>
        <v>TM,PV TTC  . . . . . . . . . . . . . . . . . . . . . . . . . . . . . . . . . . . . . . . . . . . . . . . . . . . . . . . . . . . . .</v>
      </c>
      <c r="W104" s="509"/>
      <c r="X104" s="403"/>
      <c r="Y104" s="403"/>
      <c r="Z104" s="509"/>
      <c r="AA104" s="509"/>
      <c r="AB104" s="707"/>
      <c r="AC104" s="708" t="s">
        <v>169</v>
      </c>
      <c r="AD104" s="709" t="s">
        <v>169</v>
      </c>
      <c r="AE104" s="710"/>
      <c r="AF104" s="710"/>
      <c r="AG104" s="736"/>
      <c r="AH104" s="434">
        <f t="shared" si="105"/>
        <v>1.196</v>
      </c>
      <c r="AI104" s="443">
        <f t="shared" si="106"/>
        <v>0</v>
      </c>
      <c r="AK104" s="443">
        <f t="shared" si="107"/>
        <v>0</v>
      </c>
      <c r="AL104" s="443">
        <f t="shared" si="108"/>
        <v>0</v>
      </c>
      <c r="AM104" s="443">
        <f t="shared" si="109"/>
        <v>0</v>
      </c>
      <c r="AN104" s="712">
        <f t="shared" si="110"/>
        <v>0</v>
      </c>
      <c r="AO104" s="712">
        <f t="shared" si="111"/>
        <v>0</v>
      </c>
      <c r="AP104" s="712">
        <f t="shared" si="112"/>
        <v>0</v>
      </c>
      <c r="AQ104" s="436"/>
      <c r="AR104" s="646" t="s">
        <v>290</v>
      </c>
      <c r="AS104" s="721">
        <v>0.5</v>
      </c>
      <c r="AT104" s="434">
        <v>19.600000000000001</v>
      </c>
      <c r="AU104" s="434" t="str">
        <f t="shared" si="113"/>
        <v>SL</v>
      </c>
      <c r="AV104" s="434" t="s">
        <v>277</v>
      </c>
      <c r="AW104" s="483">
        <f>IF(A104="*",1,0)</f>
        <v>0</v>
      </c>
      <c r="AX104" s="719" t="str">
        <f t="shared" si="55"/>
        <v/>
      </c>
      <c r="AY104" s="434" t="str">
        <f t="shared" si="97"/>
        <v>TM,</v>
      </c>
      <c r="AZ104" s="434" t="str">
        <f t="shared" si="90"/>
        <v/>
      </c>
      <c r="BA104" s="435">
        <f>J104</f>
        <v>0</v>
      </c>
    </row>
    <row r="105" spans="1:53" ht="12.9" customHeight="1" thickBot="1">
      <c r="A105" s="696">
        <f>IF(OR(ISBLANK(D105),MID(D105,1,1)=" "),IF(OR(ISBLANK(E105),E105=0),,"*"),IF(ISERR(SEARCH(MID(D105,1,1),H105,1)),"*",))</f>
        <v>0</v>
      </c>
      <c r="B105" s="434" t="str">
        <f t="shared" si="99"/>
        <v>522 Frais Généraux Com.</v>
      </c>
      <c r="C105" s="483"/>
      <c r="D105" s="697" t="s">
        <v>246</v>
      </c>
      <c r="E105" s="698"/>
      <c r="F105" s="698"/>
      <c r="G105" s="897">
        <f t="shared" si="101"/>
        <v>19.600000000000001</v>
      </c>
      <c r="H105" s="434" t="s">
        <v>481</v>
      </c>
      <c r="I105" s="436"/>
      <c r="J105" s="884"/>
      <c r="K105" s="885"/>
      <c r="L105" s="885"/>
      <c r="M105" s="886"/>
      <c r="N105" s="699"/>
      <c r="O105" s="700">
        <v>522</v>
      </c>
      <c r="P105" s="638" t="s">
        <v>469</v>
      </c>
      <c r="Q105" s="701"/>
      <c r="R105" s="702">
        <f t="shared" si="102"/>
        <v>0</v>
      </c>
      <c r="S105" s="703">
        <f t="shared" si="103"/>
        <v>0</v>
      </c>
      <c r="T105" s="701"/>
      <c r="U105" s="705">
        <f t="shared" si="104"/>
        <v>0</v>
      </c>
      <c r="V105" s="706" t="str">
        <f t="shared" si="75"/>
        <v>BM,. . . . . . . . . . . . . . . . . . . . . . . . . . . . . . . . . . . . . . . . . . . . . . . . . . . . . . . . . . . . . . . . . . . .</v>
      </c>
      <c r="W105" s="509"/>
      <c r="X105" s="403"/>
      <c r="Y105" s="403"/>
      <c r="Z105" s="509"/>
      <c r="AA105" s="509"/>
      <c r="AB105" s="707"/>
      <c r="AC105" s="708" t="s">
        <v>169</v>
      </c>
      <c r="AD105" s="709" t="s">
        <v>169</v>
      </c>
      <c r="AE105" s="710"/>
      <c r="AF105" s="710"/>
      <c r="AG105" s="736"/>
      <c r="AH105" s="434">
        <f t="shared" si="105"/>
        <v>1.196</v>
      </c>
      <c r="AI105" s="443">
        <f t="shared" si="106"/>
        <v>0</v>
      </c>
      <c r="AK105" s="443">
        <f t="shared" si="107"/>
        <v>0</v>
      </c>
      <c r="AL105" s="443">
        <f t="shared" si="108"/>
        <v>0</v>
      </c>
      <c r="AM105" s="443">
        <f t="shared" si="109"/>
        <v>0</v>
      </c>
      <c r="AN105" s="712">
        <f t="shared" si="110"/>
        <v>0</v>
      </c>
      <c r="AO105" s="712">
        <f t="shared" si="111"/>
        <v>0</v>
      </c>
      <c r="AP105" s="712">
        <f t="shared" si="112"/>
        <v>0</v>
      </c>
      <c r="AQ105" s="436"/>
      <c r="AR105" s="646" t="s">
        <v>290</v>
      </c>
      <c r="AS105" s="721">
        <v>1</v>
      </c>
      <c r="AT105" s="434">
        <v>19.600000000000001</v>
      </c>
      <c r="AU105" s="434" t="str">
        <f t="shared" si="113"/>
        <v>SL</v>
      </c>
      <c r="AV105" s="434" t="s">
        <v>277</v>
      </c>
      <c r="AW105" s="483">
        <f>IF(A105="*",1,0)</f>
        <v>0</v>
      </c>
      <c r="AX105" s="719" t="str">
        <f t="shared" si="55"/>
        <v>BM,</v>
      </c>
      <c r="AY105" s="434" t="str">
        <f t="shared" si="97"/>
        <v/>
      </c>
      <c r="AZ105" s="434" t="str">
        <f t="shared" si="90"/>
        <v/>
      </c>
      <c r="BA105" s="435">
        <f>J105</f>
        <v>0</v>
      </c>
    </row>
    <row r="106" spans="1:53" s="532" customFormat="1" ht="14.1" customHeight="1" thickBot="1">
      <c r="A106" s="722"/>
      <c r="C106" s="434"/>
      <c r="D106" s="723" t="s">
        <v>169</v>
      </c>
      <c r="E106" s="444"/>
      <c r="F106" s="444"/>
      <c r="G106" s="444"/>
      <c r="H106" s="444"/>
      <c r="I106" s="724"/>
      <c r="J106" s="444"/>
      <c r="K106" s="444"/>
      <c r="L106" s="444"/>
      <c r="M106" s="444"/>
      <c r="N106" s="699"/>
      <c r="O106" s="737">
        <v>7</v>
      </c>
      <c r="P106" s="726" t="s">
        <v>440</v>
      </c>
      <c r="Q106" s="726"/>
      <c r="R106" s="727"/>
      <c r="S106" s="728">
        <f>SUM(S100:S105)</f>
        <v>152</v>
      </c>
      <c r="T106" s="729">
        <f>IF(PR_REV.TOT_HT&lt;&gt;0,TOT7HT/PR_REV.TOT_HT,0)</f>
        <v>4.2280945757997221E-2</v>
      </c>
      <c r="U106" s="416">
        <f t="shared" si="104"/>
        <v>182</v>
      </c>
      <c r="V106" s="706" t="str">
        <f t="shared" si="75"/>
        <v>. . . . . . . . . . . . . . . . . . . . . . . . . . . . . . . . . . . . . . . . . . . . . . . . . . . . . . . . . . . . . . . . . . . .</v>
      </c>
      <c r="W106" s="509"/>
      <c r="X106" s="403"/>
      <c r="Y106" s="403"/>
      <c r="Z106" s="509"/>
      <c r="AA106" s="509"/>
      <c r="AB106" s="707"/>
      <c r="AC106" s="837">
        <f>IF($Q$20&lt;&gt;0,TOT7HT/$Q$20*1000,0)</f>
        <v>97.435897435897431</v>
      </c>
      <c r="AD106" s="838">
        <f>IF(SURF_HABIT&lt;&gt;0,AK106/SURF_HABIT*1000,0)</f>
        <v>103.03268576386536</v>
      </c>
      <c r="AE106" s="839">
        <f>IF(NB_LOGT&lt;&gt;0,AK106/NB_LOGT,0)</f>
        <v>6.9090909090909092</v>
      </c>
      <c r="AF106" s="839">
        <f>IF($AE$21&lt;&gt;0,AL106/$AE$21,0)</f>
        <v>0</v>
      </c>
      <c r="AG106" s="840">
        <f>IF(SURF_UTIL&lt;&gt;0,(AM106/SURF_UTIL)*1000,0)</f>
        <v>0</v>
      </c>
      <c r="AH106" s="434"/>
      <c r="AI106" s="443">
        <f>SUM(AI100:AI105)</f>
        <v>182</v>
      </c>
      <c r="AJ106" s="444">
        <f>AI106+AJ98</f>
        <v>4286</v>
      </c>
      <c r="AK106" s="734">
        <f t="shared" ref="AK106:AP106" si="114">SUM(AK100:AK105)</f>
        <v>152</v>
      </c>
      <c r="AL106" s="734">
        <f t="shared" si="114"/>
        <v>0</v>
      </c>
      <c r="AM106" s="747">
        <f t="shared" si="114"/>
        <v>0</v>
      </c>
      <c r="AN106" s="734">
        <f t="shared" si="114"/>
        <v>181.79199999999997</v>
      </c>
      <c r="AO106" s="734">
        <f t="shared" si="114"/>
        <v>0</v>
      </c>
      <c r="AP106" s="734">
        <f t="shared" si="114"/>
        <v>0</v>
      </c>
      <c r="AQ106" s="436"/>
      <c r="AR106" s="646" t="s">
        <v>169</v>
      </c>
      <c r="AS106" s="735"/>
      <c r="AT106" s="434"/>
      <c r="AU106" s="434" t="s">
        <v>277</v>
      </c>
      <c r="AV106" s="434" t="s">
        <v>277</v>
      </c>
      <c r="AW106" s="483">
        <f t="shared" si="59"/>
        <v>0</v>
      </c>
      <c r="AX106" s="719" t="str">
        <f t="shared" si="55"/>
        <v/>
      </c>
      <c r="AY106" s="434" t="str">
        <f t="shared" si="97"/>
        <v/>
      </c>
      <c r="AZ106" s="434" t="str">
        <f>IF(I106&lt;&gt;AT106,IF(I106=0,"TVA 0,00","TVA "&amp;I106),"")</f>
        <v/>
      </c>
      <c r="BA106" s="435">
        <f t="shared" si="95"/>
        <v>0</v>
      </c>
    </row>
    <row r="107" spans="1:53" ht="15.75" customHeight="1" thickBot="1">
      <c r="B107" s="436"/>
      <c r="C107" s="436"/>
      <c r="D107" s="436"/>
      <c r="E107" s="436"/>
      <c r="F107" s="436"/>
      <c r="G107" s="436"/>
      <c r="H107" s="436"/>
      <c r="I107" s="436"/>
      <c r="J107" s="436"/>
      <c r="K107" s="436"/>
      <c r="L107" s="436"/>
      <c r="M107" s="436"/>
      <c r="N107" s="699"/>
      <c r="O107" s="749"/>
      <c r="P107" s="750" t="s">
        <v>441</v>
      </c>
      <c r="Q107" s="750"/>
      <c r="R107" s="751"/>
      <c r="S107" s="752">
        <f>TOT7HT+TOT1À6HT</f>
        <v>3595</v>
      </c>
      <c r="T107" s="753">
        <f>IF(PR_REV.TOT_HT&lt;&gt;0,PR_REV.TOT_HT/PR_REV.TOT_HT,0)</f>
        <v>1</v>
      </c>
      <c r="U107" s="754">
        <f>U99+U106</f>
        <v>4286</v>
      </c>
      <c r="V107" s="706" t="str">
        <f t="shared" si="75"/>
        <v>. . . . . . . . . . . . . . . . . . . . . . . . . . . . . . . . . . . . . . . . . . . . . . . . . . . . . . . . . . . . . . . . . . . .</v>
      </c>
      <c r="W107" s="509"/>
      <c r="X107" s="403"/>
      <c r="Y107" s="403"/>
      <c r="Z107" s="509"/>
      <c r="AA107" s="509"/>
      <c r="AB107" s="707"/>
      <c r="AC107" s="755">
        <f>IF($Q$20&lt;&gt;0,PR_REV.TOT_HT/$Q$20*1000,0)</f>
        <v>2304.4871794871792</v>
      </c>
      <c r="AD107" s="756">
        <f>IF(SURF_HABIT&lt;&gt;0,AK107/SURF_HABIT*1000,0)</f>
        <v>2434.8250477881861</v>
      </c>
      <c r="AE107" s="757">
        <f>IF(NB_LOGT&lt;&gt;0,AK107/NB_LOGT,0)</f>
        <v>163.27272727272728</v>
      </c>
      <c r="AF107" s="757">
        <f>IF($AE$21&lt;&gt;0,AL107/$AE$21,0)</f>
        <v>0</v>
      </c>
      <c r="AG107" s="758">
        <f>IF(SURF_UTIL&lt;&gt;0,(AM107/SURF_UTIL)*1000,0)</f>
        <v>166.66666666666666</v>
      </c>
      <c r="AK107" s="712">
        <f t="shared" ref="AK107:AP107" si="115">AK106+AK99</f>
        <v>3592</v>
      </c>
      <c r="AL107" s="712">
        <f t="shared" si="115"/>
        <v>0</v>
      </c>
      <c r="AM107" s="712">
        <f t="shared" si="115"/>
        <v>2</v>
      </c>
      <c r="AN107" s="712">
        <f t="shared" si="115"/>
        <v>4281.7920000000004</v>
      </c>
      <c r="AO107" s="712">
        <f t="shared" si="115"/>
        <v>0</v>
      </c>
      <c r="AP107" s="712">
        <f t="shared" si="115"/>
        <v>2.4</v>
      </c>
      <c r="AQ107" s="436"/>
      <c r="AS107" s="735"/>
      <c r="AU107" s="434" t="s">
        <v>277</v>
      </c>
      <c r="AV107" s="434" t="s">
        <v>277</v>
      </c>
      <c r="AW107" s="483">
        <f t="shared" si="59"/>
        <v>0</v>
      </c>
      <c r="AX107" s="719" t="str">
        <f>IF(D115&lt;&gt;AR107,"BM,","")</f>
        <v/>
      </c>
      <c r="AZ107" s="434" t="str">
        <f>IF(I115&lt;&gt;AT107,IF(I115=0,"TVA 0,00","TVA "&amp;I115),"")</f>
        <v/>
      </c>
      <c r="BA107" s="435">
        <f t="shared" si="95"/>
        <v>0</v>
      </c>
    </row>
    <row r="108" spans="1:53" ht="5.0999999999999996" customHeight="1" thickTop="1" thickBot="1">
      <c r="B108" s="436"/>
      <c r="C108" s="436"/>
      <c r="D108" s="436"/>
      <c r="E108" s="436"/>
      <c r="F108" s="436"/>
      <c r="G108" s="436"/>
      <c r="H108" s="436"/>
      <c r="I108" s="436"/>
      <c r="J108" s="436"/>
      <c r="K108" s="436"/>
      <c r="L108" s="436"/>
      <c r="M108" s="436"/>
      <c r="N108" s="434" t="s">
        <v>442</v>
      </c>
      <c r="O108" s="509"/>
      <c r="P108" s="508"/>
      <c r="Q108" s="508"/>
      <c r="R108" s="508"/>
      <c r="S108" s="759"/>
      <c r="T108" s="760"/>
      <c r="U108" s="761">
        <f>ROUND(AI108,0)</f>
        <v>0</v>
      </c>
      <c r="V108" s="762"/>
      <c r="W108" s="509"/>
      <c r="X108" s="509"/>
      <c r="Y108" s="509"/>
      <c r="Z108" s="509"/>
      <c r="AA108" s="509"/>
      <c r="AB108" s="509"/>
      <c r="AC108" s="509"/>
      <c r="AD108" s="509"/>
      <c r="AE108" s="509"/>
      <c r="AF108" s="509"/>
      <c r="AG108" s="509"/>
      <c r="BA108" s="435">
        <f t="shared" si="95"/>
        <v>0</v>
      </c>
    </row>
    <row r="109" spans="1:53" ht="12" customHeight="1" thickTop="1">
      <c r="B109" s="436"/>
      <c r="C109" s="436"/>
      <c r="D109" s="436"/>
      <c r="E109" s="436"/>
      <c r="F109" s="436"/>
      <c r="G109" s="436"/>
      <c r="H109" s="436"/>
      <c r="I109" s="436"/>
      <c r="J109" s="436"/>
      <c r="K109" s="436"/>
      <c r="L109" s="436"/>
      <c r="M109" s="436"/>
      <c r="N109" s="434" t="s">
        <v>442</v>
      </c>
      <c r="O109" s="509"/>
      <c r="P109" s="509"/>
      <c r="Q109" s="509"/>
      <c r="R109" s="509"/>
      <c r="S109" s="763" t="s">
        <v>443</v>
      </c>
      <c r="T109" s="764" t="s">
        <v>115</v>
      </c>
      <c r="U109" s="765"/>
      <c r="V109" s="766"/>
      <c r="W109" s="767" t="s">
        <v>444</v>
      </c>
      <c r="X109" s="509"/>
      <c r="Y109" s="509"/>
      <c r="Z109" s="509"/>
      <c r="AA109" s="509"/>
      <c r="AB109" s="509"/>
      <c r="AC109" s="509"/>
      <c r="AD109" s="768" t="s">
        <v>445</v>
      </c>
      <c r="AE109" s="769"/>
      <c r="AF109" s="770" t="s">
        <v>446</v>
      </c>
      <c r="AG109" s="771" t="s">
        <v>446</v>
      </c>
      <c r="AH109" s="443" t="s">
        <v>447</v>
      </c>
      <c r="AI109"/>
      <c r="AJ109" s="772">
        <f>AJ92+AI94+AI97+AI106</f>
        <v>4256</v>
      </c>
      <c r="AL109" s="773">
        <f>AL93+AL94+AL97+AL106</f>
        <v>0</v>
      </c>
      <c r="AO109" s="773">
        <f>AO93+AO94+AO97+AO106</f>
        <v>0</v>
      </c>
      <c r="AW109" s="434">
        <f>SUM(AW38:AW107)</f>
        <v>0</v>
      </c>
      <c r="BA109" s="435">
        <f t="shared" si="95"/>
        <v>0</v>
      </c>
    </row>
    <row r="110" spans="1:53" ht="12" customHeight="1">
      <c r="B110" s="436"/>
      <c r="C110" s="436"/>
      <c r="D110" s="436"/>
      <c r="E110" s="436"/>
      <c r="F110" s="436"/>
      <c r="G110" s="436"/>
      <c r="H110" s="436"/>
      <c r="I110" s="436"/>
      <c r="J110" s="436"/>
      <c r="K110" s="436"/>
      <c r="L110" s="436"/>
      <c r="M110" s="436"/>
      <c r="N110" s="434" t="s">
        <v>442</v>
      </c>
      <c r="O110" s="509"/>
      <c r="P110" s="509"/>
      <c r="Q110" s="509"/>
      <c r="R110" s="509"/>
      <c r="S110" s="774" t="s">
        <v>448</v>
      </c>
      <c r="T110" s="775" t="s">
        <v>449</v>
      </c>
      <c r="U110" s="776" t="s">
        <v>228</v>
      </c>
      <c r="V110" s="777" t="s">
        <v>7</v>
      </c>
      <c r="W110" s="778" t="s">
        <v>450</v>
      </c>
      <c r="X110" s="509"/>
      <c r="Y110" s="509"/>
      <c r="Z110" s="509"/>
      <c r="AA110" s="509"/>
      <c r="AB110" s="509"/>
      <c r="AC110" s="509"/>
      <c r="AD110" s="779" t="s">
        <v>451</v>
      </c>
      <c r="AE110" s="780" t="s">
        <v>451</v>
      </c>
      <c r="AF110" s="776" t="s">
        <v>452</v>
      </c>
      <c r="AG110" s="781" t="s">
        <v>452</v>
      </c>
      <c r="AH110" s="434" t="s">
        <v>453</v>
      </c>
      <c r="AJ110" s="772">
        <f>S93+S94+S97+S106</f>
        <v>3565</v>
      </c>
    </row>
    <row r="111" spans="1:53" ht="12" customHeight="1" thickBot="1">
      <c r="B111" s="436"/>
      <c r="C111" s="436"/>
      <c r="D111" s="436"/>
      <c r="E111" s="436"/>
      <c r="F111" s="436"/>
      <c r="G111" s="436"/>
      <c r="H111" s="436"/>
      <c r="I111" s="436"/>
      <c r="J111" s="436"/>
      <c r="K111" s="436"/>
      <c r="L111" s="436"/>
      <c r="M111" s="436"/>
      <c r="N111" s="434" t="s">
        <v>442</v>
      </c>
      <c r="O111" s="509"/>
      <c r="P111" s="509"/>
      <c r="Q111" s="509"/>
      <c r="R111" s="509"/>
      <c r="S111" s="782" t="s">
        <v>454</v>
      </c>
      <c r="T111" s="783" t="s">
        <v>455</v>
      </c>
      <c r="U111" s="784"/>
      <c r="V111" s="785" t="s">
        <v>456</v>
      </c>
      <c r="W111" s="786" t="s">
        <v>368</v>
      </c>
      <c r="X111" s="509"/>
      <c r="Y111" s="509"/>
      <c r="Z111" s="509"/>
      <c r="AA111" s="509"/>
      <c r="AB111" s="509"/>
      <c r="AC111" s="509"/>
      <c r="AD111" s="782" t="s">
        <v>457</v>
      </c>
      <c r="AE111" s="693" t="s">
        <v>458</v>
      </c>
      <c r="AF111" s="693" t="s">
        <v>373</v>
      </c>
      <c r="AG111" s="785" t="s">
        <v>459</v>
      </c>
    </row>
    <row r="112" spans="1:53" ht="14.1" customHeight="1" thickTop="1" thickBot="1">
      <c r="B112" s="436"/>
      <c r="C112" s="436"/>
      <c r="D112" s="436"/>
      <c r="E112" s="436"/>
      <c r="F112" s="436"/>
      <c r="G112" s="436"/>
      <c r="H112" s="436"/>
      <c r="I112" s="436"/>
      <c r="J112" s="436"/>
      <c r="K112" s="436"/>
      <c r="L112" s="436"/>
      <c r="M112" s="436"/>
      <c r="N112" s="434" t="s">
        <v>442</v>
      </c>
      <c r="O112" s="509"/>
      <c r="P112" s="787" t="s">
        <v>460</v>
      </c>
      <c r="Q112" s="788"/>
      <c r="R112" s="789"/>
      <c r="S112" s="732">
        <f>(U112+PR_REV.TOT_HT)*TAUXTVA</f>
        <v>4674.1169019999998</v>
      </c>
      <c r="T112" s="790">
        <v>0.09</v>
      </c>
      <c r="U112" s="732">
        <f>PR_REV.TOT_HT*0.0871</f>
        <v>313.12450000000001</v>
      </c>
      <c r="V112" s="733">
        <f>(S112-(U112+PR_REV.TOT_HT))-(AJ106-PR_REV.TOT_HT)</f>
        <v>74.992401999999856</v>
      </c>
      <c r="W112" s="791">
        <f>IF(TOT1À4HT&lt;&gt;0,S112/TOT1À4HT,0)</f>
        <v>1.5892951043862631</v>
      </c>
      <c r="X112" s="509"/>
      <c r="Y112" s="509"/>
      <c r="Z112" s="509"/>
      <c r="AA112" s="509"/>
      <c r="AB112" s="509"/>
      <c r="AC112" s="509"/>
      <c r="AD112" s="792">
        <f>IF(SURF_HABIT&lt;&gt;0,((AK107/SURF_HABIT*1000)*1.0871)*TAUXTVA,0)</f>
        <v>3165.6903781028423</v>
      </c>
      <c r="AE112" s="731">
        <f>IF(NB_LOGT&lt;&gt;0,((AK107/NB_LOGT)*1.0871)*TAUXTVA,0)</f>
        <v>212.28256305454545</v>
      </c>
      <c r="AF112" s="731">
        <f>IF($AE$21&lt;&gt;0,((AL107/$AE$21)*1.0871)*TAUXTVA,0)</f>
        <v>0</v>
      </c>
      <c r="AG112" s="733">
        <f>IF(SURF_UTIL&lt;&gt;0,((AM107/SURF_UTIL*1000)*1.0871)*TAUXTVA,0)</f>
        <v>216.69526666666664</v>
      </c>
      <c r="AK112" s="712"/>
      <c r="AL112" s="712"/>
      <c r="AM112" s="712"/>
    </row>
    <row r="113" spans="2:33" ht="14.1" customHeight="1" thickTop="1" thickBot="1">
      <c r="B113" s="436"/>
      <c r="C113" s="436"/>
      <c r="D113" s="436"/>
      <c r="E113" s="436"/>
      <c r="F113" s="436"/>
      <c r="G113" s="436"/>
      <c r="H113" s="436"/>
      <c r="I113" s="436"/>
      <c r="J113" s="436"/>
      <c r="K113" s="436"/>
      <c r="L113" s="436"/>
      <c r="M113" s="436"/>
      <c r="N113" s="434" t="s">
        <v>442</v>
      </c>
      <c r="O113" s="509"/>
      <c r="P113" s="787" t="s">
        <v>461</v>
      </c>
      <c r="Q113" s="788"/>
      <c r="R113" s="789"/>
      <c r="S113" s="793">
        <f>PVTOT_TTC</f>
        <v>4496</v>
      </c>
      <c r="T113" s="794">
        <f>IF(PV_TOT_HT&lt;&gt;0,((PV_TOT_HT)-PR_REV.TOT_HT)/(PV_TOT_HT),0)</f>
        <v>4.0309663641217297E-2</v>
      </c>
      <c r="U113" s="795">
        <f>(PV_TOT_HT)-PR_REV.TOT_HT</f>
        <v>151</v>
      </c>
      <c r="V113" s="796">
        <f>((S113-(MARGTOT_HT+PR_REV.TOT_HT))-((AJ106)-PR_REV.TOT_HT))</f>
        <v>59</v>
      </c>
      <c r="W113" s="791">
        <f>IF(TOT1À4HT&lt;&gt;0,S113/TOT1À4HT,0)</f>
        <v>1.5287317239034341</v>
      </c>
      <c r="X113" s="509"/>
      <c r="Y113" s="509"/>
      <c r="Z113" s="509"/>
      <c r="AA113" s="509"/>
      <c r="AB113" s="509"/>
      <c r="AC113" s="509"/>
      <c r="AD113" s="792">
        <f>IF(SURF_HABIT&lt;&gt;0,(((PV_LOGT*(1+POURC_ACTUAL))/SURF_HABIT)*1000),0)</f>
        <v>3015.0617518267968</v>
      </c>
      <c r="AE113" s="731">
        <f>IF(NB_LOGT&lt;&gt;0,(PV_LOGT*(1+POURC_ACTUAL)/NB_LOGT),0)</f>
        <v>202.18181818181819</v>
      </c>
      <c r="AF113" s="797">
        <f>IF($AE$21,(PV_PARK*(1+POURC_ACTUAL)/$AE$21),0)</f>
        <v>0</v>
      </c>
      <c r="AG113" s="796">
        <f>$AF$30*(1+POURC_ACTUAL)</f>
        <v>4000</v>
      </c>
    </row>
    <row r="114" spans="2:33" ht="14.1" customHeight="1" thickTop="1" thickBot="1">
      <c r="B114" s="436"/>
      <c r="C114" s="436"/>
      <c r="D114" s="436"/>
      <c r="E114" s="436"/>
      <c r="F114" s="436"/>
      <c r="G114" s="436"/>
      <c r="H114" s="436"/>
      <c r="I114" s="436"/>
      <c r="J114" s="436"/>
      <c r="K114" s="436"/>
      <c r="L114" s="436"/>
      <c r="M114" s="436"/>
      <c r="N114" s="434" t="s">
        <v>442</v>
      </c>
      <c r="O114" s="509"/>
      <c r="P114" s="509" t="s">
        <v>482</v>
      </c>
      <c r="Q114" s="542"/>
      <c r="R114" s="509"/>
      <c r="S114" s="872" t="e">
        <f ca="1">nomdocument()</f>
        <v>#NAME?</v>
      </c>
      <c r="T114" s="509"/>
      <c r="U114" s="509"/>
      <c r="V114" s="509"/>
      <c r="W114" s="509"/>
      <c r="X114" s="798" t="s">
        <v>462</v>
      </c>
      <c r="Y114" s="800"/>
      <c r="Z114" s="799"/>
      <c r="AA114" s="800"/>
      <c r="AB114" s="800"/>
      <c r="AC114" s="801"/>
      <c r="AD114" s="797">
        <f>IF(SURF_HABIT&lt;&gt;0,(((PV_LOGT+AG23)*(1+POURC_ACTUAL))/SURF_HABIT)*1000,0)</f>
        <v>3015.0617518267968</v>
      </c>
      <c r="AE114" s="796">
        <f>IF(NB_LOGT&lt;&gt;0,(((PV_LOGT+AG23)*(1+POURC_ACTUAL))/NB_LOGT),0)</f>
        <v>202.18181818181819</v>
      </c>
      <c r="AF114" s="802" t="s">
        <v>562</v>
      </c>
      <c r="AG114" s="803"/>
    </row>
    <row r="115" spans="2:33" ht="14.1" customHeight="1" thickTop="1" thickBot="1">
      <c r="B115" s="804" t="s">
        <v>463</v>
      </c>
      <c r="C115" s="805"/>
      <c r="D115" s="444"/>
      <c r="E115" s="444"/>
      <c r="F115" s="444"/>
      <c r="G115" s="444"/>
      <c r="H115" s="444"/>
      <c r="I115" s="724"/>
      <c r="J115" s="444"/>
      <c r="K115" s="444"/>
      <c r="L115" s="444"/>
      <c r="M115" s="444"/>
      <c r="N115" s="434" t="s">
        <v>442</v>
      </c>
    </row>
    <row r="116" spans="2:33" ht="14.1" customHeight="1" thickBot="1">
      <c r="B116" s="806"/>
      <c r="C116" s="807"/>
      <c r="D116" s="808"/>
      <c r="E116" s="808"/>
      <c r="F116" s="808"/>
      <c r="G116" s="808"/>
      <c r="H116" s="809"/>
      <c r="I116" s="805"/>
      <c r="J116" s="436"/>
      <c r="K116" s="436"/>
      <c r="L116" s="436"/>
      <c r="M116" s="436"/>
      <c r="N116" s="434" t="s">
        <v>442</v>
      </c>
      <c r="S116" s="804" t="s">
        <v>463</v>
      </c>
      <c r="T116" s="805"/>
      <c r="U116" s="444"/>
      <c r="V116" s="444"/>
      <c r="W116" s="724"/>
      <c r="X116" s="444"/>
      <c r="Y116" s="444"/>
      <c r="Z116" s="444"/>
    </row>
    <row r="117" spans="2:33" ht="13.8" thickTop="1">
      <c r="B117" s="810"/>
      <c r="C117" s="811"/>
      <c r="D117" s="812"/>
      <c r="E117" s="812"/>
      <c r="F117" s="812"/>
      <c r="G117" s="812"/>
      <c r="H117" s="813"/>
      <c r="I117" s="814"/>
      <c r="J117" s="436"/>
      <c r="K117" s="436"/>
      <c r="L117" s="436"/>
      <c r="M117" s="436"/>
      <c r="S117" s="815" t="str">
        <f t="shared" ref="S117:S127" si="116">IF(H16=1,B16 &amp; "=" &amp; G16 &amp; " K" &amp; Sigle_Monnaie &amp; " L'unité"  &amp; " x" &amp; D16,IF(H16=2,B16 &amp; "=" &amp; C16*D16 &amp; "x" &amp; G16 &amp; " " &amp; Sigle_Monnaie &amp; " le M2",)) &amp; "    " &amp; B116</f>
        <v xml:space="preserve">    </v>
      </c>
      <c r="T117" s="816"/>
      <c r="U117" s="817"/>
      <c r="V117" s="817"/>
      <c r="W117" s="818"/>
      <c r="X117" s="819"/>
      <c r="Y117" s="819"/>
      <c r="Z117" s="817"/>
      <c r="AA117" s="817"/>
      <c r="AB117" s="817"/>
      <c r="AC117" s="817"/>
      <c r="AD117" s="817"/>
      <c r="AE117" s="820"/>
    </row>
    <row r="118" spans="2:33">
      <c r="B118" s="810"/>
      <c r="C118" s="811"/>
      <c r="D118" s="812"/>
      <c r="E118" s="812"/>
      <c r="F118" s="812"/>
      <c r="G118" s="812"/>
      <c r="H118" s="812"/>
      <c r="I118" s="814"/>
      <c r="J118" s="436"/>
      <c r="K118" s="436"/>
      <c r="L118" s="436"/>
      <c r="M118" s="436"/>
      <c r="S118" s="821" t="str">
        <f t="shared" si="116"/>
        <v xml:space="preserve">    </v>
      </c>
      <c r="T118" s="435"/>
      <c r="W118" s="724"/>
      <c r="X118" s="444"/>
      <c r="Y118" s="444"/>
      <c r="AE118" s="822"/>
    </row>
    <row r="119" spans="2:33">
      <c r="B119" s="810"/>
      <c r="C119" s="811"/>
      <c r="D119" s="812"/>
      <c r="E119" s="812"/>
      <c r="F119" s="812"/>
      <c r="G119" s="812"/>
      <c r="H119" s="812"/>
      <c r="I119" s="814"/>
      <c r="J119" s="436"/>
      <c r="K119" s="436"/>
      <c r="L119" s="436"/>
      <c r="M119" s="436"/>
      <c r="S119" s="821" t="str">
        <f t="shared" si="116"/>
        <v xml:space="preserve">    </v>
      </c>
      <c r="T119" s="435"/>
      <c r="AE119" s="822"/>
    </row>
    <row r="120" spans="2:33">
      <c r="B120" s="810"/>
      <c r="C120" s="811"/>
      <c r="D120" s="812"/>
      <c r="E120" s="812"/>
      <c r="F120" s="812"/>
      <c r="G120" s="812"/>
      <c r="H120" s="812"/>
      <c r="I120" s="814"/>
      <c r="J120" s="436"/>
      <c r="K120" s="436"/>
      <c r="L120" s="436"/>
      <c r="M120" s="436"/>
      <c r="S120" s="821" t="str">
        <f t="shared" si="116"/>
        <v xml:space="preserve">    </v>
      </c>
      <c r="T120" s="435"/>
      <c r="AE120" s="822"/>
    </row>
    <row r="121" spans="2:33">
      <c r="B121" s="810"/>
      <c r="C121" s="811"/>
      <c r="D121" s="812"/>
      <c r="E121" s="812"/>
      <c r="F121" s="812"/>
      <c r="G121" s="812"/>
      <c r="H121" s="812"/>
      <c r="I121" s="814"/>
      <c r="J121" s="436"/>
      <c r="K121" s="436"/>
      <c r="L121" s="436"/>
      <c r="M121" s="436"/>
      <c r="S121" s="821" t="str">
        <f t="shared" si="116"/>
        <v xml:space="preserve">    </v>
      </c>
      <c r="T121" s="435"/>
      <c r="AE121" s="822"/>
    </row>
    <row r="122" spans="2:33">
      <c r="B122" s="810"/>
      <c r="C122" s="811"/>
      <c r="D122" s="812"/>
      <c r="E122" s="812"/>
      <c r="F122" s="812"/>
      <c r="G122" s="812"/>
      <c r="H122" s="812"/>
      <c r="I122" s="814"/>
      <c r="J122" s="436"/>
      <c r="K122" s="436"/>
      <c r="L122" s="436"/>
      <c r="M122" s="436"/>
      <c r="S122" s="821" t="str">
        <f t="shared" si="116"/>
        <v xml:space="preserve">    </v>
      </c>
      <c r="T122" s="435"/>
      <c r="AE122" s="822"/>
    </row>
    <row r="123" spans="2:33">
      <c r="B123" s="810"/>
      <c r="C123" s="811"/>
      <c r="D123" s="812"/>
      <c r="E123" s="812"/>
      <c r="F123" s="812"/>
      <c r="G123" s="812"/>
      <c r="H123" s="812"/>
      <c r="I123" s="814"/>
      <c r="J123" s="436"/>
      <c r="K123" s="436"/>
      <c r="L123" s="436"/>
      <c r="M123" s="436"/>
      <c r="S123" s="821" t="str">
        <f t="shared" si="116"/>
        <v xml:space="preserve">    </v>
      </c>
      <c r="T123" s="435"/>
      <c r="AE123" s="822"/>
    </row>
    <row r="124" spans="2:33">
      <c r="B124" s="810"/>
      <c r="C124" s="811"/>
      <c r="D124" s="812"/>
      <c r="E124" s="812"/>
      <c r="F124" s="812"/>
      <c r="G124" s="812"/>
      <c r="H124" s="812"/>
      <c r="I124" s="814"/>
      <c r="J124" s="436"/>
      <c r="K124" s="436"/>
      <c r="L124" s="436"/>
      <c r="M124" s="436"/>
      <c r="S124" s="821" t="str">
        <f t="shared" si="116"/>
        <v xml:space="preserve">    </v>
      </c>
      <c r="T124" s="435"/>
      <c r="AE124" s="822"/>
    </row>
    <row r="125" spans="2:33">
      <c r="B125" s="810"/>
      <c r="C125" s="811"/>
      <c r="D125" s="812"/>
      <c r="E125" s="812"/>
      <c r="F125" s="812"/>
      <c r="G125" s="812"/>
      <c r="H125" s="812"/>
      <c r="I125" s="814"/>
      <c r="J125" s="436"/>
      <c r="K125" s="436"/>
      <c r="L125" s="436"/>
      <c r="M125" s="436"/>
      <c r="S125" s="821" t="str">
        <f t="shared" si="116"/>
        <v xml:space="preserve">    </v>
      </c>
      <c r="T125" s="435"/>
      <c r="AE125" s="822"/>
    </row>
    <row r="126" spans="2:33" ht="13.8" thickBot="1">
      <c r="B126" s="823"/>
      <c r="C126" s="824"/>
      <c r="D126" s="825"/>
      <c r="E126" s="825"/>
      <c r="F126" s="825"/>
      <c r="G126" s="825"/>
      <c r="H126" s="825"/>
      <c r="I126" s="826"/>
      <c r="J126" s="436"/>
      <c r="K126" s="436"/>
      <c r="L126" s="436"/>
      <c r="M126" s="436"/>
      <c r="S126" s="821" t="str">
        <f t="shared" si="116"/>
        <v xml:space="preserve">    </v>
      </c>
      <c r="T126" s="435"/>
      <c r="AE126" s="822"/>
    </row>
    <row r="127" spans="2:33" ht="13.8" thickBot="1">
      <c r="S127" s="827" t="str">
        <f t="shared" si="116"/>
        <v xml:space="preserve">    </v>
      </c>
      <c r="T127" s="828"/>
      <c r="U127" s="829"/>
      <c r="V127" s="829"/>
      <c r="W127" s="829"/>
      <c r="X127" s="829"/>
      <c r="Y127" s="829"/>
      <c r="Z127" s="829"/>
      <c r="AA127" s="829"/>
      <c r="AB127" s="829"/>
      <c r="AC127" s="829"/>
      <c r="AD127" s="829"/>
      <c r="AE127" s="830"/>
    </row>
    <row r="128" spans="2:33" ht="14.4" thickTop="1" thickBot="1">
      <c r="B128" s="471" t="s">
        <v>569</v>
      </c>
      <c r="S128" s="436"/>
      <c r="T128" s="435"/>
    </row>
    <row r="129" spans="1:45" ht="13.8" thickBot="1">
      <c r="A129" s="434"/>
      <c r="B129" s="1003" t="s">
        <v>541</v>
      </c>
      <c r="C129" s="1004"/>
      <c r="D129" s="1004"/>
      <c r="E129" s="1004"/>
      <c r="F129" s="1004"/>
      <c r="G129" s="1004"/>
      <c r="H129" s="1004"/>
      <c r="I129" s="1005"/>
      <c r="J129" s="952"/>
      <c r="K129" s="952"/>
      <c r="L129" s="952"/>
      <c r="M129" s="952"/>
      <c r="N129" s="952"/>
      <c r="O129" s="952"/>
      <c r="P129" s="952"/>
    </row>
    <row r="130" spans="1:45">
      <c r="B130" s="953"/>
      <c r="C130" s="954"/>
      <c r="D130" s="954"/>
      <c r="E130" s="955" t="s">
        <v>345</v>
      </c>
      <c r="F130" s="956" t="s">
        <v>542</v>
      </c>
      <c r="G130" s="955" t="s">
        <v>543</v>
      </c>
      <c r="H130" s="956" t="s">
        <v>563</v>
      </c>
      <c r="I130" s="956" t="s">
        <v>115</v>
      </c>
      <c r="J130" s="957"/>
      <c r="K130" s="957"/>
      <c r="L130" s="957"/>
      <c r="M130" s="1216" t="s">
        <v>544</v>
      </c>
      <c r="N130" s="1217"/>
      <c r="O130" s="1218"/>
      <c r="P130" s="958" t="s">
        <v>545</v>
      </c>
      <c r="Q130" s="958" t="s">
        <v>567</v>
      </c>
    </row>
    <row r="131" spans="1:45" ht="13.8" thickBot="1">
      <c r="B131" s="959"/>
      <c r="C131" s="960"/>
      <c r="D131" s="960"/>
      <c r="E131" s="961" t="s">
        <v>546</v>
      </c>
      <c r="F131" s="962"/>
      <c r="G131" s="961" t="s">
        <v>566</v>
      </c>
      <c r="H131" s="962" t="s">
        <v>565</v>
      </c>
      <c r="I131" s="962" t="s">
        <v>548</v>
      </c>
      <c r="J131" s="957"/>
      <c r="K131" s="957"/>
      <c r="L131" s="957"/>
      <c r="M131" s="1255"/>
      <c r="N131" s="1256"/>
      <c r="O131" s="1257"/>
      <c r="P131" s="963"/>
      <c r="Q131" s="963" t="s">
        <v>564</v>
      </c>
    </row>
    <row r="132" spans="1:45">
      <c r="B132" s="964" t="s">
        <v>549</v>
      </c>
      <c r="C132" s="965"/>
      <c r="D132" s="965"/>
      <c r="E132" s="966"/>
      <c r="F132" s="997">
        <v>22</v>
      </c>
      <c r="G132" s="967"/>
      <c r="H132" s="966"/>
      <c r="I132" s="966"/>
      <c r="J132" s="968"/>
      <c r="K132" s="1258" t="s">
        <v>547</v>
      </c>
      <c r="L132" s="1259"/>
      <c r="M132" s="1223">
        <f>F134-M133</f>
        <v>0</v>
      </c>
      <c r="N132" s="1243"/>
      <c r="O132" s="1240"/>
      <c r="P132" s="1008">
        <f>AS132</f>
        <v>400</v>
      </c>
      <c r="Q132" s="969">
        <f>M132*P132</f>
        <v>0</v>
      </c>
      <c r="AS132" s="1009">
        <v>400</v>
      </c>
    </row>
    <row r="133" spans="1:45" ht="13.8" thickBot="1">
      <c r="B133" s="970" t="s">
        <v>550</v>
      </c>
      <c r="C133" s="971"/>
      <c r="D133" s="971"/>
      <c r="E133" s="972"/>
      <c r="F133" s="998"/>
      <c r="G133" s="973"/>
      <c r="H133" s="972"/>
      <c r="I133" s="974"/>
      <c r="J133" s="975"/>
      <c r="K133" s="1260" t="s">
        <v>568</v>
      </c>
      <c r="L133" s="1261"/>
      <c r="M133" s="1223">
        <f>G134</f>
        <v>0</v>
      </c>
      <c r="N133" s="1243"/>
      <c r="O133" s="1240"/>
      <c r="P133" s="1008">
        <f>AS133</f>
        <v>150</v>
      </c>
      <c r="Q133" s="969">
        <f>M133*P133</f>
        <v>0</v>
      </c>
      <c r="AS133" s="1009">
        <v>150</v>
      </c>
    </row>
    <row r="134" spans="1:45">
      <c r="B134" s="976" t="s">
        <v>551</v>
      </c>
      <c r="C134" s="977"/>
      <c r="D134" s="977"/>
      <c r="E134" s="978"/>
      <c r="F134" s="979">
        <f>F138-F132-F133</f>
        <v>0</v>
      </c>
      <c r="G134" s="1001">
        <v>0</v>
      </c>
      <c r="H134" s="978"/>
      <c r="I134" s="978"/>
      <c r="J134" s="980"/>
      <c r="K134" s="1219" t="s">
        <v>560</v>
      </c>
      <c r="L134" s="1220"/>
      <c r="M134" s="1223">
        <f>SUM(M132:M133)</f>
        <v>0</v>
      </c>
      <c r="N134" s="1243"/>
      <c r="O134" s="1240"/>
      <c r="P134" s="969"/>
      <c r="Q134" s="981">
        <f>SUM(Q132:Q133)</f>
        <v>0</v>
      </c>
    </row>
    <row r="135" spans="1:45">
      <c r="B135" s="976"/>
      <c r="C135" s="977" t="s">
        <v>552</v>
      </c>
      <c r="D135" s="977"/>
      <c r="E135" s="999"/>
      <c r="F135" s="972">
        <f>ROUND(F134*E135,0)</f>
        <v>0</v>
      </c>
      <c r="G135" s="973"/>
      <c r="H135" s="969"/>
      <c r="I135" s="982"/>
      <c r="J135" s="980"/>
      <c r="K135" s="1221" t="s">
        <v>553</v>
      </c>
      <c r="L135" s="1222"/>
      <c r="M135" s="1223">
        <f>F135</f>
        <v>0</v>
      </c>
      <c r="N135" s="1243"/>
      <c r="O135" s="1240"/>
      <c r="P135" s="1008">
        <f>AS135</f>
        <v>485</v>
      </c>
      <c r="Q135" s="981">
        <f>M135*P135</f>
        <v>0</v>
      </c>
      <c r="AS135" s="1009">
        <v>485</v>
      </c>
    </row>
    <row r="136" spans="1:45" ht="13.8" thickBot="1">
      <c r="B136" s="976"/>
      <c r="C136" s="977" t="s">
        <v>554</v>
      </c>
      <c r="D136" s="977"/>
      <c r="E136" s="999"/>
      <c r="F136" s="972">
        <f>ROUND(F134*E136,0)</f>
        <v>0</v>
      </c>
      <c r="G136" s="983"/>
      <c r="H136" s="1002"/>
      <c r="I136" s="999"/>
      <c r="J136" s="980"/>
      <c r="K136" s="1241" t="s">
        <v>555</v>
      </c>
      <c r="L136" s="1242"/>
      <c r="M136" s="1236">
        <f>(H136*1000*F136)*I136</f>
        <v>0</v>
      </c>
      <c r="N136" s="1252"/>
      <c r="O136" s="1253"/>
      <c r="P136" s="1010">
        <f>AS136</f>
        <v>0.7</v>
      </c>
      <c r="Q136" s="1011">
        <f>M136*P136/100</f>
        <v>0</v>
      </c>
      <c r="AS136" s="1009">
        <v>0.7</v>
      </c>
    </row>
    <row r="137" spans="1:45" ht="13.8" thickBot="1">
      <c r="B137" s="984"/>
      <c r="C137" s="985" t="s">
        <v>556</v>
      </c>
      <c r="D137" s="985"/>
      <c r="E137" s="1000"/>
      <c r="F137" s="986">
        <f>ROUND(F134*E137,0)</f>
        <v>0</v>
      </c>
      <c r="G137" s="987"/>
      <c r="H137" s="988"/>
      <c r="I137" s="989"/>
      <c r="J137" s="968"/>
      <c r="K137" s="968"/>
      <c r="L137" s="990"/>
      <c r="M137" s="990"/>
      <c r="N137" s="990"/>
      <c r="O137" s="548"/>
      <c r="P137" s="548"/>
    </row>
    <row r="138" spans="1:45" ht="13.8" thickBot="1">
      <c r="B138" s="548"/>
      <c r="C138" s="548"/>
      <c r="D138" s="951"/>
      <c r="E138" s="991">
        <f>SUM(E135:E137)</f>
        <v>0</v>
      </c>
      <c r="F138" s="992">
        <f>NB_LOGT</f>
        <v>22</v>
      </c>
      <c r="G138" s="993"/>
      <c r="H138" s="994"/>
      <c r="I138" s="995"/>
      <c r="J138" s="957"/>
      <c r="K138" s="996"/>
      <c r="L138" s="996"/>
      <c r="M138" s="996"/>
      <c r="N138" s="548"/>
      <c r="O138" s="548"/>
      <c r="P138" s="548"/>
    </row>
    <row r="140" spans="1:45" ht="13.8" thickBot="1"/>
    <row r="141" spans="1:45" ht="13.8" thickBot="1">
      <c r="A141" s="434"/>
      <c r="B141" s="1003" t="s">
        <v>570</v>
      </c>
      <c r="C141" s="1004"/>
      <c r="D141" s="1004"/>
      <c r="E141" s="1004"/>
      <c r="F141" s="1004"/>
      <c r="G141" s="1004"/>
      <c r="H141" s="1004"/>
      <c r="I141" s="1005"/>
    </row>
    <row r="142" spans="1:45">
      <c r="B142" s="1140"/>
      <c r="C142" s="1141"/>
      <c r="D142" s="1141"/>
      <c r="E142" s="1141"/>
      <c r="F142" s="1141"/>
      <c r="G142" s="1141"/>
      <c r="H142" s="1141"/>
      <c r="I142" s="1142"/>
    </row>
    <row r="143" spans="1:45">
      <c r="B143" s="1211"/>
      <c r="C143" s="1212" t="s">
        <v>571</v>
      </c>
      <c r="D143" s="1143">
        <f>D155-D147-D148-D149-D150-D151-D152-D153-D154</f>
        <v>22.480000000000018</v>
      </c>
      <c r="E143" s="1144"/>
      <c r="F143" s="1144"/>
      <c r="G143" s="1144"/>
      <c r="H143" s="1144"/>
      <c r="I143" s="1145"/>
    </row>
    <row r="144" spans="1:45" ht="13.8" thickBot="1">
      <c r="B144" s="1146"/>
      <c r="C144" s="1147"/>
      <c r="D144" s="1148"/>
      <c r="E144" s="1144"/>
      <c r="F144" s="1144"/>
      <c r="G144" s="1144"/>
      <c r="H144" s="1144"/>
      <c r="I144" s="1145"/>
    </row>
    <row r="145" spans="2:45">
      <c r="B145" s="1162" t="s">
        <v>580</v>
      </c>
      <c r="C145" s="958" t="s">
        <v>115</v>
      </c>
      <c r="D145" s="1162" t="s">
        <v>26</v>
      </c>
      <c r="E145" s="1275" t="s">
        <v>572</v>
      </c>
      <c r="F145" s="1276"/>
      <c r="G145" s="1275" t="s">
        <v>573</v>
      </c>
      <c r="H145" s="1277"/>
      <c r="I145" s="1278"/>
    </row>
    <row r="146" spans="2:45" ht="13.8" thickBot="1">
      <c r="B146" s="1165"/>
      <c r="C146" s="1166"/>
      <c r="D146" s="1166"/>
      <c r="E146" s="1163" t="s">
        <v>574</v>
      </c>
      <c r="F146" s="1163" t="s">
        <v>567</v>
      </c>
      <c r="G146" s="1163" t="s">
        <v>575</v>
      </c>
      <c r="H146" s="1279" t="s">
        <v>567</v>
      </c>
      <c r="I146" s="1280"/>
    </row>
    <row r="147" spans="2:45">
      <c r="B147" s="1164" t="s">
        <v>584</v>
      </c>
      <c r="C147" s="1172"/>
      <c r="D147" s="1150">
        <f>D155*C147</f>
        <v>0</v>
      </c>
      <c r="E147" s="1167">
        <f>AS147</f>
        <v>2.5</v>
      </c>
      <c r="F147" s="1150">
        <f>D147*E147/100</f>
        <v>0</v>
      </c>
      <c r="G147" s="1151"/>
      <c r="H147" s="1281"/>
      <c r="I147" s="1282"/>
      <c r="AS147" s="1009">
        <v>2.5</v>
      </c>
    </row>
    <row r="148" spans="2:45">
      <c r="B148" s="1164" t="s">
        <v>581</v>
      </c>
      <c r="C148" s="1172">
        <v>0.71499999999999997</v>
      </c>
      <c r="D148" s="1150">
        <f>D155*C148</f>
        <v>3214.64</v>
      </c>
      <c r="E148" s="1174">
        <v>2</v>
      </c>
      <c r="F148" s="1150">
        <f>D148*E148/100</f>
        <v>64.2928</v>
      </c>
      <c r="G148" s="1151"/>
      <c r="H148" s="1223"/>
      <c r="I148" s="1224"/>
    </row>
    <row r="149" spans="2:45">
      <c r="B149" s="1149" t="s">
        <v>585</v>
      </c>
      <c r="C149" s="1159"/>
      <c r="D149" s="969">
        <f>D155*C149</f>
        <v>0</v>
      </c>
      <c r="E149" s="1167">
        <f>AS149</f>
        <v>7</v>
      </c>
      <c r="F149" s="969">
        <f>D149*E149/100</f>
        <v>0</v>
      </c>
      <c r="G149" s="982"/>
      <c r="H149" s="1223"/>
      <c r="I149" s="1224"/>
      <c r="AS149" s="1009">
        <v>7</v>
      </c>
    </row>
    <row r="150" spans="2:45">
      <c r="B150" s="1149" t="s">
        <v>582</v>
      </c>
      <c r="C150" s="1159"/>
      <c r="D150" s="969">
        <f>D155*C150</f>
        <v>0</v>
      </c>
      <c r="E150" s="1174"/>
      <c r="F150" s="969">
        <f>D150*E150/100</f>
        <v>0</v>
      </c>
      <c r="G150" s="982"/>
      <c r="H150" s="1223"/>
      <c r="I150" s="1224"/>
    </row>
    <row r="151" spans="2:45">
      <c r="B151" s="1149" t="s">
        <v>583</v>
      </c>
      <c r="C151" s="1159">
        <v>0.28000000000000003</v>
      </c>
      <c r="D151" s="969">
        <f>D155*C151</f>
        <v>1258.8800000000001</v>
      </c>
      <c r="E151" s="1151"/>
      <c r="F151" s="969"/>
      <c r="G151" s="1174">
        <v>3</v>
      </c>
      <c r="H151" s="1223">
        <f>D151*G151/100</f>
        <v>37.766400000000004</v>
      </c>
      <c r="I151" s="1240"/>
    </row>
    <row r="152" spans="2:45">
      <c r="B152" s="1149" t="s">
        <v>583</v>
      </c>
      <c r="C152" s="1159"/>
      <c r="D152" s="969">
        <f>D155*C152</f>
        <v>0</v>
      </c>
      <c r="E152" s="1151"/>
      <c r="F152" s="969"/>
      <c r="G152" s="1174"/>
      <c r="H152" s="1223">
        <f>D152*G152/100</f>
        <v>0</v>
      </c>
      <c r="I152" s="1240"/>
    </row>
    <row r="153" spans="2:45">
      <c r="B153" s="1161" t="s">
        <v>576</v>
      </c>
      <c r="C153" s="1160"/>
      <c r="D153" s="1152">
        <f>D155*C153</f>
        <v>0</v>
      </c>
      <c r="E153" s="1174"/>
      <c r="F153" s="1150">
        <f>D153*E153/100</f>
        <v>0</v>
      </c>
      <c r="G153" s="1174"/>
      <c r="H153" s="1223">
        <f>D153*G153/100</f>
        <v>0</v>
      </c>
      <c r="I153" s="1240"/>
    </row>
    <row r="154" spans="2:45" ht="13.8" thickBot="1">
      <c r="B154" s="1153" t="s">
        <v>577</v>
      </c>
      <c r="C154" s="1173"/>
      <c r="D154" s="1154">
        <f>D155*C154</f>
        <v>0</v>
      </c>
      <c r="E154" s="989"/>
      <c r="F154" s="1154"/>
      <c r="G154" s="988"/>
      <c r="H154" s="1236"/>
      <c r="I154" s="1237"/>
    </row>
    <row r="155" spans="2:45" ht="13.8" thickBot="1">
      <c r="B155" s="1155" t="s">
        <v>207</v>
      </c>
      <c r="C155" s="1169">
        <f>SUM(C147:C154)</f>
        <v>0.995</v>
      </c>
      <c r="D155" s="1156">
        <f>PVTOT_TTC</f>
        <v>4496</v>
      </c>
      <c r="E155" s="1157"/>
      <c r="F155" s="1158">
        <f>SUM(F147:F154)</f>
        <v>64.2928</v>
      </c>
      <c r="G155" s="1157"/>
      <c r="H155" s="1238">
        <f>SUM(H147:H154)</f>
        <v>37.766400000000004</v>
      </c>
      <c r="I155" s="1239"/>
    </row>
    <row r="200" spans="56:71" ht="21">
      <c r="BD200" s="1091" t="s">
        <v>569</v>
      </c>
      <c r="BE200" s="1092"/>
      <c r="BF200" s="1093"/>
      <c r="BG200" s="1093"/>
      <c r="BH200" s="1093"/>
      <c r="BI200" s="1093"/>
      <c r="BJ200" s="1093"/>
      <c r="BK200" s="1093"/>
      <c r="BS200" s="442"/>
    </row>
    <row r="201" spans="56:71" ht="21.6" thickBot="1">
      <c r="BD201" s="1091"/>
      <c r="BE201" s="1092"/>
      <c r="BF201" s="1093"/>
      <c r="BG201" s="1093"/>
      <c r="BH201" s="1093"/>
      <c r="BI201" s="1093"/>
      <c r="BJ201" s="1093"/>
      <c r="BK201" s="1093"/>
      <c r="BS201" s="442"/>
    </row>
    <row r="202" spans="56:71" ht="21" thickBot="1">
      <c r="BD202" s="1094" t="s">
        <v>541</v>
      </c>
      <c r="BE202" s="1095"/>
      <c r="BF202" s="1095"/>
      <c r="BG202" s="1095"/>
      <c r="BH202" s="1095"/>
      <c r="BI202" s="1095"/>
      <c r="BJ202" s="1095"/>
      <c r="BK202" s="1096"/>
      <c r="BL202" s="952"/>
      <c r="BM202" s="952"/>
      <c r="BN202" s="952"/>
      <c r="BO202" s="952"/>
      <c r="BP202" s="952"/>
      <c r="BQ202" s="952"/>
      <c r="BR202" s="952"/>
      <c r="BS202" s="442"/>
    </row>
    <row r="203" spans="56:71" ht="20.399999999999999">
      <c r="BD203" s="1097"/>
      <c r="BE203" s="1098"/>
      <c r="BF203" s="1098"/>
      <c r="BG203" s="1099" t="s">
        <v>345</v>
      </c>
      <c r="BH203" s="1100" t="s">
        <v>542</v>
      </c>
      <c r="BI203" s="1099" t="s">
        <v>543</v>
      </c>
      <c r="BJ203" s="1100" t="s">
        <v>563</v>
      </c>
      <c r="BK203" s="1100" t="s">
        <v>115</v>
      </c>
      <c r="BL203" s="957"/>
    </row>
    <row r="204" spans="56:71" ht="21" thickBot="1">
      <c r="BD204" s="1101"/>
      <c r="BE204" s="1102"/>
      <c r="BF204" s="1102"/>
      <c r="BG204" s="1103" t="s">
        <v>546</v>
      </c>
      <c r="BH204" s="1104"/>
      <c r="BI204" s="1103" t="s">
        <v>566</v>
      </c>
      <c r="BJ204" s="1104" t="s">
        <v>565</v>
      </c>
      <c r="BK204" s="1104" t="s">
        <v>548</v>
      </c>
      <c r="BL204" s="957"/>
    </row>
    <row r="205" spans="56:71" ht="21">
      <c r="BD205" s="1105" t="s">
        <v>549</v>
      </c>
      <c r="BE205" s="1106"/>
      <c r="BF205" s="1106"/>
      <c r="BG205" s="1107" t="str">
        <f t="shared" ref="BG205:BK210" si="117">IF(E132&lt;&gt;0,E132,"")</f>
        <v/>
      </c>
      <c r="BH205" s="1108">
        <f t="shared" si="117"/>
        <v>22</v>
      </c>
      <c r="BI205" s="1109" t="str">
        <f t="shared" si="117"/>
        <v/>
      </c>
      <c r="BJ205" s="1110" t="str">
        <f t="shared" si="117"/>
        <v/>
      </c>
      <c r="BK205" s="1110" t="str">
        <f t="shared" si="117"/>
        <v/>
      </c>
      <c r="BL205" s="968"/>
    </row>
    <row r="206" spans="56:71" ht="21">
      <c r="BD206" s="1111" t="s">
        <v>550</v>
      </c>
      <c r="BE206" s="1112"/>
      <c r="BF206" s="1112"/>
      <c r="BG206" s="1113" t="str">
        <f t="shared" si="117"/>
        <v/>
      </c>
      <c r="BH206" s="1114" t="str">
        <f t="shared" si="117"/>
        <v/>
      </c>
      <c r="BI206" s="1115" t="str">
        <f t="shared" si="117"/>
        <v/>
      </c>
      <c r="BJ206" s="1116" t="str">
        <f t="shared" si="117"/>
        <v/>
      </c>
      <c r="BK206" s="1116" t="str">
        <f t="shared" si="117"/>
        <v/>
      </c>
      <c r="BL206" s="975"/>
    </row>
    <row r="207" spans="56:71" ht="21">
      <c r="BD207" s="1117" t="s">
        <v>551</v>
      </c>
      <c r="BE207" s="1118"/>
      <c r="BF207" s="1118"/>
      <c r="BG207" s="1113" t="str">
        <f t="shared" si="117"/>
        <v/>
      </c>
      <c r="BH207" s="1116" t="str">
        <f t="shared" si="117"/>
        <v/>
      </c>
      <c r="BI207" s="1119" t="str">
        <f t="shared" si="117"/>
        <v/>
      </c>
      <c r="BJ207" s="1116" t="str">
        <f t="shared" si="117"/>
        <v/>
      </c>
      <c r="BK207" s="1116" t="str">
        <f t="shared" si="117"/>
        <v/>
      </c>
      <c r="BL207" s="980"/>
    </row>
    <row r="208" spans="56:71" ht="21">
      <c r="BD208" s="1117"/>
      <c r="BE208" s="1118" t="s">
        <v>552</v>
      </c>
      <c r="BF208" s="1118"/>
      <c r="BG208" s="1120" t="str">
        <f t="shared" si="117"/>
        <v/>
      </c>
      <c r="BH208" s="1116" t="str">
        <f t="shared" si="117"/>
        <v/>
      </c>
      <c r="BI208" s="1121" t="str">
        <f t="shared" si="117"/>
        <v/>
      </c>
      <c r="BJ208" s="1116" t="str">
        <f t="shared" si="117"/>
        <v/>
      </c>
      <c r="BK208" s="1116" t="str">
        <f t="shared" si="117"/>
        <v/>
      </c>
      <c r="BL208" s="980"/>
    </row>
    <row r="209" spans="56:71" ht="21">
      <c r="BD209" s="1117"/>
      <c r="BE209" s="1118" t="s">
        <v>554</v>
      </c>
      <c r="BF209" s="1118"/>
      <c r="BG209" s="1120" t="str">
        <f t="shared" si="117"/>
        <v/>
      </c>
      <c r="BH209" s="1116" t="str">
        <f t="shared" si="117"/>
        <v/>
      </c>
      <c r="BI209" s="1121" t="str">
        <f t="shared" si="117"/>
        <v/>
      </c>
      <c r="BJ209" s="1122" t="str">
        <f t="shared" si="117"/>
        <v/>
      </c>
      <c r="BK209" s="1120" t="str">
        <f t="shared" si="117"/>
        <v/>
      </c>
      <c r="BL209" s="980"/>
    </row>
    <row r="210" spans="56:71" ht="21.6" thickBot="1">
      <c r="BD210" s="1123"/>
      <c r="BE210" s="1124" t="s">
        <v>556</v>
      </c>
      <c r="BF210" s="1124"/>
      <c r="BG210" s="1125" t="str">
        <f t="shared" si="117"/>
        <v/>
      </c>
      <c r="BH210" s="1126" t="str">
        <f t="shared" si="117"/>
        <v/>
      </c>
      <c r="BI210" s="1121" t="str">
        <f t="shared" si="117"/>
        <v/>
      </c>
      <c r="BJ210" s="1116" t="str">
        <f t="shared" si="117"/>
        <v/>
      </c>
      <c r="BK210" s="1116" t="str">
        <f t="shared" si="117"/>
        <v/>
      </c>
      <c r="BL210" s="968"/>
      <c r="BM210" s="968"/>
      <c r="BN210" s="990"/>
      <c r="BO210" s="990"/>
      <c r="BP210" s="990"/>
      <c r="BQ210" s="548"/>
      <c r="BR210" s="548"/>
      <c r="BS210" s="442"/>
    </row>
    <row r="211" spans="56:71" ht="21.6" thickBot="1">
      <c r="BD211" s="1127"/>
      <c r="BE211" s="1127"/>
      <c r="BF211" s="1128"/>
      <c r="BG211" s="1129" t="str">
        <f>IF(E138&lt;&gt;0,E138,"")</f>
        <v/>
      </c>
      <c r="BH211" s="1130">
        <f>IF(F138&lt;&gt;0,F138,"")</f>
        <v>22</v>
      </c>
      <c r="BI211" s="1131"/>
      <c r="BJ211" s="1132"/>
      <c r="BK211" s="1133"/>
      <c r="BL211" s="957"/>
      <c r="BM211" s="996"/>
      <c r="BN211" s="996"/>
      <c r="BO211" s="996"/>
      <c r="BP211" s="548"/>
      <c r="BQ211" s="548"/>
      <c r="BR211" s="548"/>
      <c r="BS211" s="442"/>
    </row>
    <row r="212" spans="56:71" ht="20.399999999999999">
      <c r="BD212" s="1093"/>
      <c r="BE212" s="1093"/>
      <c r="BF212" s="1093"/>
      <c r="BG212" s="1093"/>
      <c r="BH212" s="1093"/>
      <c r="BI212" s="1093"/>
      <c r="BJ212" s="1093"/>
      <c r="BK212" s="1093"/>
    </row>
    <row r="213" spans="56:71" ht="20.399999999999999">
      <c r="BD213" s="1093"/>
      <c r="BE213" s="1093"/>
      <c r="BF213" s="1093"/>
      <c r="BG213" s="1093"/>
      <c r="BH213" s="1093"/>
      <c r="BI213" s="1093"/>
      <c r="BJ213" s="1093"/>
      <c r="BK213" s="1093"/>
    </row>
    <row r="214" spans="56:71" ht="21" thickBot="1">
      <c r="BD214" s="1093"/>
      <c r="BE214" s="1093"/>
      <c r="BF214" s="1093"/>
      <c r="BG214" s="1093"/>
      <c r="BH214" s="1093"/>
      <c r="BI214" s="1093"/>
      <c r="BJ214" s="1093"/>
      <c r="BK214" s="1093"/>
    </row>
    <row r="215" spans="56:71" ht="20.399999999999999">
      <c r="BD215" s="1134"/>
      <c r="BE215" s="1134"/>
      <c r="BF215" s="1093"/>
      <c r="BG215" s="1269" t="s">
        <v>544</v>
      </c>
      <c r="BH215" s="1218"/>
      <c r="BI215" s="1135" t="s">
        <v>545</v>
      </c>
      <c r="BJ215" s="1269" t="s">
        <v>567</v>
      </c>
      <c r="BK215" s="1218"/>
    </row>
    <row r="216" spans="56:71" ht="21" thickBot="1">
      <c r="BD216" s="1134"/>
      <c r="BE216" s="1134"/>
      <c r="BF216" s="1093"/>
      <c r="BG216" s="1272"/>
      <c r="BH216" s="1274"/>
      <c r="BI216" s="1138"/>
      <c r="BJ216" s="1272" t="s">
        <v>564</v>
      </c>
      <c r="BK216" s="1273"/>
    </row>
    <row r="217" spans="56:71" ht="21.6" thickBot="1">
      <c r="BD217" s="1254" t="s">
        <v>547</v>
      </c>
      <c r="BE217" s="1235"/>
      <c r="BF217" s="1232"/>
      <c r="BG217" s="1268" t="str">
        <f>IF(M132&lt;&gt;0,M132,"")</f>
        <v/>
      </c>
      <c r="BH217" s="1267"/>
      <c r="BI217" s="1137">
        <f t="shared" ref="BI217:BJ221" si="118">IF(P132&lt;&gt;0,P132,"")</f>
        <v>400</v>
      </c>
      <c r="BJ217" s="1266" t="str">
        <f t="shared" si="118"/>
        <v/>
      </c>
      <c r="BK217" s="1267"/>
    </row>
    <row r="218" spans="56:71" ht="21.6" thickBot="1">
      <c r="BD218" s="1234" t="s">
        <v>568</v>
      </c>
      <c r="BE218" s="1235"/>
      <c r="BF218" s="1232"/>
      <c r="BG218" s="1264" t="str">
        <f>IF(M133&lt;&gt;0,M133,"")</f>
        <v/>
      </c>
      <c r="BH218" s="1240"/>
      <c r="BI218" s="1136">
        <f t="shared" si="118"/>
        <v>150</v>
      </c>
      <c r="BJ218" s="1271" t="str">
        <f t="shared" si="118"/>
        <v/>
      </c>
      <c r="BK218" s="1240"/>
    </row>
    <row r="219" spans="56:71" ht="21.6" thickBot="1">
      <c r="BD219" s="1233" t="s">
        <v>560</v>
      </c>
      <c r="BE219" s="1231"/>
      <c r="BF219" s="1232"/>
      <c r="BG219" s="1264" t="str">
        <f>IF(M134&lt;&gt;0,M134,"")</f>
        <v/>
      </c>
      <c r="BH219" s="1240"/>
      <c r="BI219" s="1136" t="str">
        <f t="shared" si="118"/>
        <v/>
      </c>
      <c r="BJ219" s="1271" t="str">
        <f t="shared" si="118"/>
        <v/>
      </c>
      <c r="BK219" s="1240"/>
    </row>
    <row r="220" spans="56:71" ht="21.6" thickBot="1">
      <c r="BD220" s="1227" t="s">
        <v>553</v>
      </c>
      <c r="BE220" s="1228"/>
      <c r="BF220" s="1229"/>
      <c r="BG220" s="1264" t="str">
        <f>IF(M135&lt;&gt;0,M135,"")</f>
        <v/>
      </c>
      <c r="BH220" s="1240"/>
      <c r="BI220" s="1136">
        <f t="shared" si="118"/>
        <v>485</v>
      </c>
      <c r="BJ220" s="1271" t="str">
        <f t="shared" si="118"/>
        <v/>
      </c>
      <c r="BK220" s="1240"/>
    </row>
    <row r="221" spans="56:71" ht="21.6" thickBot="1">
      <c r="BD221" s="1230" t="s">
        <v>555</v>
      </c>
      <c r="BE221" s="1231"/>
      <c r="BF221" s="1232"/>
      <c r="BG221" s="1265" t="str">
        <f>IF(M136&lt;&gt;0,M136,"")</f>
        <v/>
      </c>
      <c r="BH221" s="1253"/>
      <c r="BI221" s="1139">
        <f t="shared" si="118"/>
        <v>0.7</v>
      </c>
      <c r="BJ221" s="1270" t="str">
        <f t="shared" si="118"/>
        <v/>
      </c>
      <c r="BK221" s="1253"/>
    </row>
    <row r="222" spans="56:71" ht="20.25" customHeight="1"/>
    <row r="223" spans="56:71" ht="20.25" customHeight="1"/>
    <row r="225" spans="56:63" ht="20.25" customHeight="1" thickBot="1"/>
    <row r="226" spans="56:63" ht="21" thickBot="1">
      <c r="BD226" s="1094" t="s">
        <v>570</v>
      </c>
      <c r="BE226" s="1095"/>
      <c r="BF226" s="1095"/>
      <c r="BG226" s="1095"/>
      <c r="BH226" s="1095"/>
      <c r="BI226" s="1095"/>
      <c r="BJ226" s="1095"/>
      <c r="BK226" s="1096"/>
    </row>
    <row r="227" spans="56:63" ht="21">
      <c r="BD227" s="1182"/>
      <c r="BE227" s="1183"/>
      <c r="BF227" s="1183"/>
      <c r="BG227" s="1183"/>
      <c r="BH227" s="1183"/>
      <c r="BI227" s="1183"/>
      <c r="BJ227" s="1183"/>
      <c r="BK227" s="1184"/>
    </row>
    <row r="228" spans="56:63" ht="21">
      <c r="BD228" s="1185"/>
      <c r="BE228" s="1210" t="s">
        <v>571</v>
      </c>
      <c r="BF228" s="1186"/>
      <c r="BG228" s="1168">
        <f>D143</f>
        <v>22.480000000000018</v>
      </c>
      <c r="BH228" s="1186"/>
      <c r="BI228" s="1186"/>
      <c r="BJ228" s="1186"/>
      <c r="BK228" s="1187"/>
    </row>
    <row r="229" spans="56:63" ht="21.6" thickBot="1">
      <c r="BD229" s="1188"/>
      <c r="BE229" s="1189"/>
      <c r="BF229" s="1190"/>
      <c r="BG229" s="1186"/>
      <c r="BH229" s="1186"/>
      <c r="BI229" s="1186"/>
      <c r="BJ229" s="1186"/>
      <c r="BK229" s="1187"/>
    </row>
    <row r="230" spans="56:63" ht="20.399999999999999">
      <c r="BD230" s="1225" t="s">
        <v>580</v>
      </c>
      <c r="BE230" s="1226"/>
      <c r="BF230" s="1135" t="s">
        <v>115</v>
      </c>
      <c r="BG230" s="1181" t="s">
        <v>26</v>
      </c>
      <c r="BH230" s="1262" t="s">
        <v>578</v>
      </c>
      <c r="BI230" s="1263"/>
      <c r="BJ230" s="1262" t="s">
        <v>579</v>
      </c>
      <c r="BK230" s="1263"/>
    </row>
    <row r="231" spans="56:63" ht="21.6" thickBot="1">
      <c r="BD231" s="1188"/>
      <c r="BE231" s="1191"/>
      <c r="BF231" s="1138"/>
      <c r="BG231" s="1138"/>
      <c r="BH231" s="1192" t="s">
        <v>574</v>
      </c>
      <c r="BI231" s="1192" t="s">
        <v>567</v>
      </c>
      <c r="BJ231" s="1192" t="s">
        <v>575</v>
      </c>
      <c r="BK231" s="1193" t="s">
        <v>567</v>
      </c>
    </row>
    <row r="232" spans="56:63" ht="21">
      <c r="BD232" s="1194" t="s">
        <v>584</v>
      </c>
      <c r="BE232" s="1194"/>
      <c r="BF232" s="1209" t="str">
        <f t="shared" ref="BF232:BK237" si="119">IF(C147&lt;&gt;0,C147,"")</f>
        <v/>
      </c>
      <c r="BG232" s="1195" t="str">
        <f t="shared" si="119"/>
        <v/>
      </c>
      <c r="BH232" s="1196">
        <f t="shared" si="119"/>
        <v>2.5</v>
      </c>
      <c r="BI232" s="1195" t="str">
        <f t="shared" si="119"/>
        <v/>
      </c>
      <c r="BJ232" s="1196" t="str">
        <f t="shared" si="119"/>
        <v/>
      </c>
      <c r="BK232" s="1195" t="str">
        <f t="shared" si="119"/>
        <v/>
      </c>
    </row>
    <row r="233" spans="56:63" ht="21">
      <c r="BD233" s="1194" t="s">
        <v>581</v>
      </c>
      <c r="BE233" s="1194"/>
      <c r="BF233" s="1209">
        <f t="shared" si="119"/>
        <v>0.71499999999999997</v>
      </c>
      <c r="BG233" s="1195">
        <f t="shared" si="119"/>
        <v>3214.64</v>
      </c>
      <c r="BH233" s="1197">
        <f t="shared" si="119"/>
        <v>2</v>
      </c>
      <c r="BI233" s="1195">
        <f t="shared" si="119"/>
        <v>64.2928</v>
      </c>
      <c r="BJ233" s="1196" t="str">
        <f t="shared" si="119"/>
        <v/>
      </c>
      <c r="BK233" s="1195" t="str">
        <f t="shared" si="119"/>
        <v/>
      </c>
    </row>
    <row r="234" spans="56:63" ht="21">
      <c r="BD234" s="1198" t="s">
        <v>585</v>
      </c>
      <c r="BE234" s="1198"/>
      <c r="BF234" s="1209" t="str">
        <f t="shared" si="119"/>
        <v/>
      </c>
      <c r="BG234" s="1195" t="str">
        <f t="shared" si="119"/>
        <v/>
      </c>
      <c r="BH234" s="1196">
        <f t="shared" si="119"/>
        <v>7</v>
      </c>
      <c r="BI234" s="1195" t="str">
        <f t="shared" si="119"/>
        <v/>
      </c>
      <c r="BJ234" s="1196" t="str">
        <f t="shared" si="119"/>
        <v/>
      </c>
      <c r="BK234" s="1195" t="str">
        <f t="shared" si="119"/>
        <v/>
      </c>
    </row>
    <row r="235" spans="56:63" ht="21">
      <c r="BD235" s="1198" t="s">
        <v>582</v>
      </c>
      <c r="BE235" s="1198"/>
      <c r="BF235" s="1209" t="str">
        <f t="shared" si="119"/>
        <v/>
      </c>
      <c r="BG235" s="1195" t="str">
        <f t="shared" si="119"/>
        <v/>
      </c>
      <c r="BH235" s="1197" t="str">
        <f t="shared" si="119"/>
        <v/>
      </c>
      <c r="BI235" s="1195" t="str">
        <f t="shared" si="119"/>
        <v/>
      </c>
      <c r="BJ235" s="1196" t="str">
        <f t="shared" si="119"/>
        <v/>
      </c>
      <c r="BK235" s="1195" t="str">
        <f t="shared" si="119"/>
        <v/>
      </c>
    </row>
    <row r="236" spans="56:63" ht="21">
      <c r="BD236" s="1199" t="s">
        <v>583</v>
      </c>
      <c r="BE236" s="1200"/>
      <c r="BF236" s="1209">
        <f t="shared" si="119"/>
        <v>0.28000000000000003</v>
      </c>
      <c r="BG236" s="1195">
        <f t="shared" si="119"/>
        <v>1258.8800000000001</v>
      </c>
      <c r="BH236" s="1196" t="str">
        <f t="shared" si="119"/>
        <v/>
      </c>
      <c r="BI236" s="1195" t="str">
        <f t="shared" si="119"/>
        <v/>
      </c>
      <c r="BJ236" s="1197">
        <f t="shared" si="119"/>
        <v>3</v>
      </c>
      <c r="BK236" s="1195">
        <f t="shared" si="119"/>
        <v>37.766400000000004</v>
      </c>
    </row>
    <row r="237" spans="56:63" ht="21">
      <c r="BD237" s="1199" t="s">
        <v>583</v>
      </c>
      <c r="BE237" s="1200"/>
      <c r="BF237" s="1209" t="str">
        <f t="shared" si="119"/>
        <v/>
      </c>
      <c r="BG237" s="1195" t="str">
        <f t="shared" si="119"/>
        <v/>
      </c>
      <c r="BH237" s="1196" t="str">
        <f t="shared" si="119"/>
        <v/>
      </c>
      <c r="BI237" s="1195" t="str">
        <f t="shared" si="119"/>
        <v/>
      </c>
      <c r="BJ237" s="1197" t="str">
        <f t="shared" si="119"/>
        <v/>
      </c>
      <c r="BK237" s="1195" t="str">
        <f t="shared" si="119"/>
        <v/>
      </c>
    </row>
    <row r="238" spans="56:63" ht="21">
      <c r="BD238" s="1201" t="s">
        <v>576</v>
      </c>
      <c r="BE238" s="1201"/>
      <c r="BF238" s="1209" t="str">
        <f t="shared" ref="BF238:BK239" si="120">IF(C153&lt;&gt;0,C153,"")</f>
        <v/>
      </c>
      <c r="BG238" s="1195" t="str">
        <f t="shared" si="120"/>
        <v/>
      </c>
      <c r="BH238" s="1197" t="str">
        <f>IF(E153&lt;&gt;0,E153,"")</f>
        <v/>
      </c>
      <c r="BI238" s="1195" t="str">
        <f t="shared" si="120"/>
        <v/>
      </c>
      <c r="BJ238" s="1197" t="str">
        <f>IF(G153&lt;&gt;0,G153,"")</f>
        <v/>
      </c>
      <c r="BK238" s="1195" t="str">
        <f t="shared" si="120"/>
        <v/>
      </c>
    </row>
    <row r="239" spans="56:63" ht="21.6" thickBot="1">
      <c r="BD239" s="1202" t="s">
        <v>577</v>
      </c>
      <c r="BE239" s="1202"/>
      <c r="BF239" s="1209" t="str">
        <f t="shared" si="120"/>
        <v/>
      </c>
      <c r="BG239" s="1203" t="str">
        <f t="shared" si="120"/>
        <v/>
      </c>
      <c r="BH239" s="1204" t="str">
        <f t="shared" si="120"/>
        <v/>
      </c>
      <c r="BI239" s="1195" t="str">
        <f t="shared" si="120"/>
        <v/>
      </c>
      <c r="BJ239" s="1196" t="str">
        <f t="shared" si="120"/>
        <v/>
      </c>
      <c r="BK239" s="1195" t="str">
        <f t="shared" si="120"/>
        <v/>
      </c>
    </row>
    <row r="240" spans="56:63" ht="21" thickBot="1">
      <c r="BD240" s="1205" t="s">
        <v>207</v>
      </c>
      <c r="BE240" s="1206"/>
      <c r="BF240" s="1207">
        <f t="shared" ref="BF240:BK240" si="121">IF(C155&lt;&gt;0,C155,"")</f>
        <v>0.995</v>
      </c>
      <c r="BG240" s="1208">
        <f t="shared" si="121"/>
        <v>4496</v>
      </c>
      <c r="BH240" s="1208" t="str">
        <f t="shared" si="121"/>
        <v/>
      </c>
      <c r="BI240" s="1208">
        <f t="shared" si="121"/>
        <v>64.2928</v>
      </c>
      <c r="BJ240" s="1208" t="str">
        <f t="shared" si="121"/>
        <v/>
      </c>
      <c r="BK240" s="1208">
        <f t="shared" si="121"/>
        <v>37.766400000000004</v>
      </c>
    </row>
  </sheetData>
  <sheetProtection password="8FDA" sheet="1" objects="1" scenarios="1"/>
  <customSheetViews>
    <customSheetView guid="{185B1D6B-988C-4819-B119-9DBF81846F69}" showGridLines="0" fitToPage="1" hiddenRows="1" hiddenColumns="1" showRuler="0">
      <pane ySplit="4" topLeftCell="A5" activePane="bottomLeft" state="frozenSplit"/>
      <selection pane="bottomLeft" activeCell="C5" sqref="C5"/>
      <pageMargins left="0" right="0" top="0" bottom="0" header="0.4921259845" footer="0.4921259845"/>
      <printOptions horizontalCentered="1" verticalCentered="1"/>
      <pageSetup paperSize="9" scale="69" orientation="portrait" r:id="rId1"/>
      <headerFooter alignWithMargins="0"/>
    </customSheetView>
  </customSheetViews>
  <mergeCells count="51">
    <mergeCell ref="BG218:BH218"/>
    <mergeCell ref="BG215:BH215"/>
    <mergeCell ref="E145:F145"/>
    <mergeCell ref="G145:I145"/>
    <mergeCell ref="H146:I146"/>
    <mergeCell ref="H147:I147"/>
    <mergeCell ref="H152:I152"/>
    <mergeCell ref="H148:I148"/>
    <mergeCell ref="H150:I150"/>
    <mergeCell ref="K132:L132"/>
    <mergeCell ref="K133:L133"/>
    <mergeCell ref="BJ230:BK230"/>
    <mergeCell ref="BH230:BI230"/>
    <mergeCell ref="BG219:BH219"/>
    <mergeCell ref="BG220:BH220"/>
    <mergeCell ref="BG221:BH221"/>
    <mergeCell ref="BJ217:BK217"/>
    <mergeCell ref="BG217:BH217"/>
    <mergeCell ref="BJ215:BK215"/>
    <mergeCell ref="BJ221:BK221"/>
    <mergeCell ref="BJ220:BK220"/>
    <mergeCell ref="BJ219:BK219"/>
    <mergeCell ref="BJ218:BK218"/>
    <mergeCell ref="BJ216:BK216"/>
    <mergeCell ref="BG216:BH216"/>
    <mergeCell ref="M136:O136"/>
    <mergeCell ref="BD217:BF217"/>
    <mergeCell ref="M131:O131"/>
    <mergeCell ref="M132:O132"/>
    <mergeCell ref="M133:O133"/>
    <mergeCell ref="F37:G37"/>
    <mergeCell ref="V28:Z28"/>
    <mergeCell ref="M2:P2"/>
    <mergeCell ref="I21:M21"/>
    <mergeCell ref="I18:J18"/>
    <mergeCell ref="M130:O130"/>
    <mergeCell ref="K134:L134"/>
    <mergeCell ref="K135:L135"/>
    <mergeCell ref="H149:I149"/>
    <mergeCell ref="BD230:BE230"/>
    <mergeCell ref="BD220:BF220"/>
    <mergeCell ref="BD221:BF221"/>
    <mergeCell ref="BD219:BF219"/>
    <mergeCell ref="BD218:BF218"/>
    <mergeCell ref="H154:I154"/>
    <mergeCell ref="H155:I155"/>
    <mergeCell ref="H151:I151"/>
    <mergeCell ref="H153:I153"/>
    <mergeCell ref="K136:L136"/>
    <mergeCell ref="M134:O134"/>
    <mergeCell ref="M135:O135"/>
  </mergeCells>
  <phoneticPr fontId="16" type="noConversion"/>
  <hyperlinks>
    <hyperlink ref="Z101" location="SIMU!W94" display="SIMU!W94" xr:uid="{00000000-0004-0000-0200-000000000000}"/>
  </hyperlinks>
  <printOptions horizontalCentered="1" verticalCentered="1" gridLinesSet="0"/>
  <pageMargins left="0" right="0" top="0" bottom="0" header="0.4921259845" footer="0.4921259845"/>
  <pageSetup paperSize="9" scale="66" orientation="portrait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4109" r:id="rId5" name="btn_imp">
          <controlPr locked="0" defaultSize="0" autoLine="0" autoPict="0" macro="[0]!imp_simu" r:id="rId6">
            <anchor moveWithCells="1" sizeWithCells="1">
              <from>
                <xdr:col>2</xdr:col>
                <xdr:colOff>137160</xdr:colOff>
                <xdr:row>0</xdr:row>
                <xdr:rowOff>7620</xdr:rowOff>
              </from>
              <to>
                <xdr:col>2</xdr:col>
                <xdr:colOff>617220</xdr:colOff>
                <xdr:row>3</xdr:row>
                <xdr:rowOff>22860</xdr:rowOff>
              </to>
            </anchor>
          </controlPr>
        </control>
      </mc:Choice>
      <mc:Fallback>
        <control shapeId="4109" r:id="rId5" name="btn_imp"/>
      </mc:Fallback>
    </mc:AlternateContent>
    <mc:AlternateContent xmlns:mc="http://schemas.openxmlformats.org/markup-compatibility/2006">
      <mc:Choice Requires="x14">
        <control shapeId="4108" r:id="rId7" name="btn_suppl">
          <controlPr locked="0" defaultSize="0" autoLine="0" autoPict="0" macro="[0]!imp_simu" r:id="rId8">
            <anchor moveWithCells="1" sizeWithCells="1">
              <from>
                <xdr:col>1</xdr:col>
                <xdr:colOff>548640</xdr:colOff>
                <xdr:row>0</xdr:row>
                <xdr:rowOff>0</xdr:rowOff>
              </from>
              <to>
                <xdr:col>1</xdr:col>
                <xdr:colOff>1028700</xdr:colOff>
                <xdr:row>3</xdr:row>
                <xdr:rowOff>7620</xdr:rowOff>
              </to>
            </anchor>
          </controlPr>
        </control>
      </mc:Choice>
      <mc:Fallback>
        <control shapeId="4108" r:id="rId7" name="btn_suppl"/>
      </mc:Fallback>
    </mc:AlternateContent>
    <mc:AlternateContent xmlns:mc="http://schemas.openxmlformats.org/markup-compatibility/2006">
      <mc:Choice Requires="x14">
        <control shapeId="4107" r:id="rId9" name="btn_ajoutl">
          <controlPr locked="0" defaultSize="0" autoLine="0" autoPict="0" macro="[0]!imp_simu" r:id="rId10">
            <anchor moveWithCells="1" sizeWithCells="1">
              <from>
                <xdr:col>1</xdr:col>
                <xdr:colOff>7620</xdr:colOff>
                <xdr:row>0</xdr:row>
                <xdr:rowOff>0</xdr:rowOff>
              </from>
              <to>
                <xdr:col>1</xdr:col>
                <xdr:colOff>487680</xdr:colOff>
                <xdr:row>3</xdr:row>
                <xdr:rowOff>7620</xdr:rowOff>
              </to>
            </anchor>
          </controlPr>
        </control>
      </mc:Choice>
      <mc:Fallback>
        <control shapeId="4107" r:id="rId9" name="btn_ajoutl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pageSetUpPr fitToPage="1"/>
  </sheetPr>
  <dimension ref="A1:AP93"/>
  <sheetViews>
    <sheetView showGridLines="0" defaultGridColor="0" topLeftCell="A13" colorId="8" workbookViewId="0">
      <selection activeCell="C1" sqref="C1"/>
    </sheetView>
  </sheetViews>
  <sheetFormatPr baseColWidth="10" defaultRowHeight="13.2"/>
  <cols>
    <col min="1" max="2" width="8.6640625" customWidth="1"/>
    <col min="3" max="14" width="7.5546875" customWidth="1"/>
    <col min="15" max="15" width="3.44140625" customWidth="1"/>
    <col min="16" max="16" width="9.109375" customWidth="1"/>
    <col min="17" max="17" width="6.6640625" customWidth="1"/>
    <col min="18" max="18" width="7.109375" customWidth="1"/>
    <col min="19" max="26" width="6.6640625" customWidth="1"/>
    <col min="27" max="27" width="6.88671875" customWidth="1"/>
    <col min="28" max="28" width="7.6640625" customWidth="1"/>
    <col min="29" max="29" width="11.6640625" customWidth="1"/>
    <col min="30" max="30" width="5.6640625" customWidth="1"/>
    <col min="31" max="32" width="8.6640625" customWidth="1"/>
    <col min="33" max="33" width="8.6640625" style="1" customWidth="1"/>
    <col min="34" max="37" width="8.6640625" customWidth="1"/>
    <col min="40" max="40" width="11.5546875" customWidth="1"/>
    <col min="41" max="42" width="11.5546875" hidden="1" customWidth="1"/>
    <col min="43" max="43" width="11.5546875" customWidth="1"/>
  </cols>
  <sheetData>
    <row r="1" spans="1:42" s="4" customFormat="1" ht="10.199999999999999">
      <c r="A1" s="2" t="s">
        <v>170</v>
      </c>
      <c r="B1" s="3"/>
      <c r="C1" s="1018" t="str">
        <f>BILAN!C6</f>
        <v>Briscous</v>
      </c>
      <c r="D1" s="1019"/>
      <c r="E1" s="1020"/>
      <c r="G1" s="4" t="s">
        <v>561</v>
      </c>
      <c r="K1" s="2" t="s">
        <v>172</v>
      </c>
      <c r="L1" s="5"/>
      <c r="M1" s="1026"/>
      <c r="N1" s="1027"/>
      <c r="U1" s="6" t="s">
        <v>198</v>
      </c>
      <c r="AG1" s="6" t="s">
        <v>199</v>
      </c>
      <c r="AO1" s="100" t="s">
        <v>223</v>
      </c>
      <c r="AP1" s="128">
        <v>0</v>
      </c>
    </row>
    <row r="2" spans="1:42" s="4" customFormat="1" ht="10.199999999999999">
      <c r="A2" s="2" t="s">
        <v>173</v>
      </c>
      <c r="B2" s="3"/>
      <c r="C2" s="1021" t="str">
        <f>BILAN!E6</f>
        <v xml:space="preserve"> </v>
      </c>
      <c r="AG2" s="6"/>
    </row>
    <row r="3" spans="1:42" s="4" customFormat="1" ht="12.75" customHeight="1">
      <c r="A3" s="2" t="s">
        <v>200</v>
      </c>
      <c r="B3" s="3"/>
      <c r="C3" s="1022"/>
      <c r="F3" s="101" t="s">
        <v>125</v>
      </c>
      <c r="G3" s="5"/>
      <c r="H3" s="1025">
        <f>BILAN!S96</f>
        <v>30</v>
      </c>
      <c r="L3" s="2" t="s">
        <v>171</v>
      </c>
      <c r="M3" s="3"/>
      <c r="N3" s="1025">
        <f>BILAN!S94</f>
        <v>6</v>
      </c>
      <c r="P3" s="7"/>
      <c r="Q3" s="8"/>
      <c r="R3" s="9" t="s">
        <v>37</v>
      </c>
      <c r="S3" s="10" t="s">
        <v>27</v>
      </c>
      <c r="T3" s="10" t="s">
        <v>28</v>
      </c>
      <c r="U3" s="10" t="s">
        <v>29</v>
      </c>
      <c r="V3" s="10" t="s">
        <v>30</v>
      </c>
      <c r="W3" s="10" t="s">
        <v>31</v>
      </c>
      <c r="X3" s="10" t="s">
        <v>32</v>
      </c>
      <c r="Y3" s="10" t="s">
        <v>33</v>
      </c>
      <c r="Z3" s="10" t="s">
        <v>34</v>
      </c>
      <c r="AA3" s="10" t="s">
        <v>35</v>
      </c>
    </row>
    <row r="4" spans="1:42" s="4" customFormat="1" ht="10.199999999999999">
      <c r="A4" s="2" t="s">
        <v>177</v>
      </c>
      <c r="B4" s="5"/>
      <c r="C4" s="1023"/>
      <c r="F4" s="126"/>
      <c r="H4" s="432"/>
      <c r="L4" s="11" t="s">
        <v>174</v>
      </c>
      <c r="M4" s="12"/>
      <c r="N4" s="1070">
        <v>0</v>
      </c>
      <c r="P4" s="13" t="s">
        <v>39</v>
      </c>
      <c r="Q4" s="14">
        <v>0.19600000000000001</v>
      </c>
      <c r="R4" s="1028">
        <v>0</v>
      </c>
      <c r="S4" s="1061"/>
      <c r="T4" s="1061"/>
      <c r="U4" s="1061"/>
      <c r="V4" s="1061"/>
      <c r="W4" s="1061"/>
      <c r="X4" s="1061"/>
      <c r="Y4" s="1061"/>
      <c r="Z4" s="1061"/>
      <c r="AA4" s="1062"/>
      <c r="AC4" s="15" t="s">
        <v>201</v>
      </c>
      <c r="AF4" s="16" t="s">
        <v>118</v>
      </c>
    </row>
    <row r="5" spans="1:42" s="4" customFormat="1" ht="10.199999999999999">
      <c r="C5" s="17" t="s">
        <v>202</v>
      </c>
      <c r="D5" s="17" t="s">
        <v>203</v>
      </c>
      <c r="L5" s="2" t="s">
        <v>526</v>
      </c>
      <c r="M5" s="25"/>
      <c r="N5" s="1080" t="e">
        <f>(FF_BUD-FF_CAL)/CHIF_AFF</f>
        <v>#DIV/0!</v>
      </c>
      <c r="P5" s="20"/>
      <c r="Q5" s="21"/>
      <c r="R5" s="22"/>
      <c r="S5" s="23"/>
      <c r="T5" s="23"/>
      <c r="U5" s="23"/>
      <c r="V5" s="23"/>
      <c r="W5" s="23"/>
      <c r="X5" s="23"/>
      <c r="Y5" s="23"/>
      <c r="Z5" s="23"/>
      <c r="AA5" s="24"/>
    </row>
    <row r="6" spans="1:42" s="4" customFormat="1" ht="12.75" customHeight="1">
      <c r="A6" s="2" t="s">
        <v>204</v>
      </c>
      <c r="B6" s="3"/>
      <c r="C6" s="1023"/>
      <c r="D6" s="1024"/>
      <c r="F6" s="2" t="s">
        <v>216</v>
      </c>
      <c r="G6" s="18"/>
      <c r="H6" s="1070" t="e">
        <f>#NULL!</f>
        <v>#NULL!</v>
      </c>
      <c r="I6" s="19" t="s">
        <v>176</v>
      </c>
      <c r="J6" s="19"/>
      <c r="K6" s="1079" t="s">
        <v>212</v>
      </c>
      <c r="L6" s="2" t="s">
        <v>179</v>
      </c>
      <c r="M6" s="5"/>
      <c r="N6" s="1028">
        <v>0</v>
      </c>
      <c r="P6" s="13" t="s">
        <v>50</v>
      </c>
      <c r="Q6" s="14">
        <v>0.19600000000000001</v>
      </c>
      <c r="R6" s="1028">
        <v>0</v>
      </c>
      <c r="S6" s="1061"/>
      <c r="T6" s="1061"/>
      <c r="U6" s="1061"/>
      <c r="V6" s="1061"/>
      <c r="W6" s="1061"/>
      <c r="X6" s="1061"/>
      <c r="Y6" s="1061"/>
      <c r="Z6" s="1061"/>
      <c r="AA6" s="1063"/>
    </row>
    <row r="7" spans="1:42" s="4" customFormat="1" ht="10.199999999999999">
      <c r="C7" s="1023"/>
      <c r="D7" s="1024"/>
      <c r="P7" s="20"/>
      <c r="Q7" s="21"/>
      <c r="R7" s="22"/>
      <c r="S7" s="23"/>
      <c r="T7" s="23"/>
      <c r="U7" s="23"/>
      <c r="V7" s="23"/>
      <c r="W7" s="23"/>
      <c r="X7" s="23"/>
      <c r="Y7" s="23"/>
      <c r="Z7" s="23"/>
      <c r="AA7" s="24"/>
      <c r="AC7" s="26" t="s">
        <v>101</v>
      </c>
      <c r="AD7" s="25"/>
      <c r="AE7" s="25"/>
      <c r="AF7" s="25"/>
      <c r="AG7" s="25"/>
      <c r="AH7" s="27"/>
      <c r="AI7" s="28">
        <v>3</v>
      </c>
    </row>
    <row r="8" spans="1:42" s="4" customFormat="1" ht="12.75" customHeight="1">
      <c r="C8" s="1023"/>
      <c r="D8" s="1024"/>
      <c r="F8" s="2" t="s">
        <v>217</v>
      </c>
      <c r="G8" s="25"/>
      <c r="H8" s="1071" t="e">
        <v>#DIV/0!</v>
      </c>
      <c r="I8" s="1072"/>
      <c r="P8" s="13" t="s">
        <v>52</v>
      </c>
      <c r="Q8" s="14">
        <v>0.19600000000000001</v>
      </c>
      <c r="R8" s="1028">
        <v>0</v>
      </c>
      <c r="S8" s="1064"/>
      <c r="T8" s="1064"/>
      <c r="U8" s="1064"/>
      <c r="V8" s="1064"/>
      <c r="W8" s="1064"/>
      <c r="X8" s="1064"/>
      <c r="Y8" s="1064"/>
      <c r="Z8" s="1064"/>
      <c r="AA8" s="1062"/>
      <c r="AC8" s="26" t="s">
        <v>103</v>
      </c>
      <c r="AD8" s="25"/>
      <c r="AE8" s="25"/>
      <c r="AF8" s="25"/>
      <c r="AG8" s="25"/>
      <c r="AH8" s="27"/>
      <c r="AI8" s="28">
        <v>4</v>
      </c>
    </row>
    <row r="9" spans="1:42" s="4" customFormat="1" ht="10.199999999999999">
      <c r="C9" s="1023"/>
      <c r="D9" s="1024"/>
      <c r="L9" s="2" t="s">
        <v>180</v>
      </c>
      <c r="M9" s="25"/>
      <c r="N9" s="1078">
        <f>T1_CA+T2_CA+T3_CA+T4_CA+T5_CA+T6_CA</f>
        <v>0</v>
      </c>
      <c r="P9" s="29"/>
      <c r="Q9" s="30"/>
      <c r="AA9" s="30"/>
      <c r="AC9" s="26" t="s">
        <v>104</v>
      </c>
      <c r="AD9" s="25"/>
      <c r="AE9" s="25"/>
      <c r="AF9" s="25"/>
      <c r="AG9" s="25"/>
      <c r="AH9" s="27"/>
      <c r="AI9" s="28">
        <v>1</v>
      </c>
    </row>
    <row r="10" spans="1:42" s="4" customFormat="1" ht="12.75" customHeight="1">
      <c r="A10" s="31"/>
      <c r="C10" s="1023"/>
      <c r="D10" s="1024"/>
      <c r="F10" s="2" t="s">
        <v>218</v>
      </c>
      <c r="G10" s="25"/>
      <c r="H10" s="1073" t="s">
        <v>212</v>
      </c>
      <c r="I10" s="1074"/>
      <c r="P10" s="13" t="s">
        <v>54</v>
      </c>
      <c r="Q10" s="14">
        <v>0.19600000000000001</v>
      </c>
      <c r="R10" s="1028">
        <v>0</v>
      </c>
      <c r="S10" s="1061"/>
      <c r="T10" s="1061"/>
      <c r="U10" s="1061"/>
      <c r="V10" s="1061"/>
      <c r="W10" s="1061"/>
      <c r="X10" s="1061"/>
      <c r="Y10" s="1061"/>
      <c r="Z10" s="1061"/>
      <c r="AA10" s="1063"/>
      <c r="AC10" s="26" t="s">
        <v>105</v>
      </c>
      <c r="AD10" s="25"/>
      <c r="AE10" s="25"/>
      <c r="AF10" s="25"/>
      <c r="AG10" s="25"/>
      <c r="AH10" s="27"/>
      <c r="AI10" s="28">
        <v>2</v>
      </c>
    </row>
    <row r="11" spans="1:42" s="4" customFormat="1">
      <c r="C11" s="1023"/>
      <c r="D11" s="1024"/>
      <c r="F11" s="101" t="s">
        <v>213</v>
      </c>
      <c r="H11" s="1073" t="s">
        <v>212</v>
      </c>
      <c r="I11" s="1074"/>
      <c r="J11"/>
      <c r="K11"/>
      <c r="L11" s="2" t="s">
        <v>96</v>
      </c>
      <c r="M11" s="25"/>
      <c r="N11" s="1078" t="e">
        <f>#NULL!</f>
        <v>#NULL!</v>
      </c>
      <c r="P11" s="20"/>
      <c r="Q11" s="21"/>
      <c r="R11" s="22"/>
      <c r="S11" s="23"/>
      <c r="T11" s="23"/>
      <c r="U11" s="23"/>
      <c r="V11" s="23"/>
      <c r="W11" s="23"/>
      <c r="X11" s="23"/>
      <c r="Y11" s="23"/>
      <c r="Z11" s="23"/>
      <c r="AA11" s="24"/>
      <c r="AC11" s="26" t="s">
        <v>107</v>
      </c>
      <c r="AD11" s="25"/>
      <c r="AE11" s="25"/>
      <c r="AF11" s="25"/>
      <c r="AG11" s="25"/>
      <c r="AH11" s="27"/>
      <c r="AI11" s="28">
        <v>1</v>
      </c>
    </row>
    <row r="12" spans="1:42" s="4" customFormat="1" ht="10.199999999999999">
      <c r="C12" s="1023"/>
      <c r="D12" s="1024"/>
      <c r="F12" s="2" t="s">
        <v>182</v>
      </c>
      <c r="G12" s="5"/>
      <c r="H12" s="1075">
        <v>0</v>
      </c>
      <c r="P12" s="13" t="s">
        <v>56</v>
      </c>
      <c r="Q12" s="14">
        <v>0.19600000000000001</v>
      </c>
      <c r="R12" s="1028"/>
      <c r="S12" s="1061"/>
      <c r="T12" s="1061"/>
      <c r="U12" s="1061"/>
      <c r="V12" s="1061"/>
      <c r="W12" s="1061"/>
      <c r="X12" s="1061"/>
      <c r="Y12" s="1061"/>
      <c r="Z12" s="1061"/>
      <c r="AA12" s="1063"/>
      <c r="AC12" s="26" t="s">
        <v>108</v>
      </c>
      <c r="AD12" s="25"/>
      <c r="AE12" s="25"/>
      <c r="AF12" s="25"/>
      <c r="AG12" s="25"/>
      <c r="AH12" s="27"/>
      <c r="AI12" s="28">
        <v>2</v>
      </c>
    </row>
    <row r="13" spans="1:42" s="4" customFormat="1" ht="10.199999999999999">
      <c r="C13" s="1023"/>
      <c r="D13" s="1024"/>
      <c r="L13" s="2" t="s">
        <v>183</v>
      </c>
      <c r="M13" s="25"/>
      <c r="N13" s="1077" t="e">
        <v>#DIV/0!</v>
      </c>
      <c r="P13" s="20"/>
      <c r="Q13" s="21"/>
      <c r="R13" s="22"/>
      <c r="S13" s="23"/>
      <c r="T13" s="23"/>
      <c r="U13" s="23"/>
      <c r="V13" s="23"/>
      <c r="W13" s="23"/>
      <c r="X13" s="23"/>
      <c r="Y13" s="23"/>
      <c r="Z13" s="23"/>
      <c r="AA13" s="24"/>
      <c r="AC13" s="26" t="s">
        <v>110</v>
      </c>
      <c r="AD13" s="25"/>
      <c r="AE13" s="25"/>
      <c r="AF13" s="25"/>
      <c r="AG13" s="25"/>
      <c r="AH13" s="27"/>
      <c r="AI13" s="28">
        <v>2</v>
      </c>
    </row>
    <row r="14" spans="1:42" s="4" customFormat="1" ht="10.199999999999999">
      <c r="C14" s="1023"/>
      <c r="D14" s="1024"/>
      <c r="F14" s="2" t="s">
        <v>178</v>
      </c>
      <c r="G14" s="5"/>
      <c r="H14" s="1076">
        <f>NB_LOGT</f>
        <v>22</v>
      </c>
      <c r="P14" s="13" t="s">
        <v>58</v>
      </c>
      <c r="Q14" s="14">
        <v>0.19600000000000001</v>
      </c>
      <c r="R14" s="1028"/>
      <c r="S14" s="1064"/>
      <c r="T14" s="1064"/>
      <c r="U14" s="1064"/>
      <c r="V14" s="1064"/>
      <c r="W14" s="1064"/>
      <c r="X14" s="1064"/>
      <c r="Y14" s="1064"/>
      <c r="Z14" s="1064"/>
      <c r="AA14" s="1062"/>
    </row>
    <row r="15" spans="1:42" s="4" customFormat="1" ht="10.199999999999999">
      <c r="C15" s="1023"/>
      <c r="D15" s="1024"/>
      <c r="F15" s="32" t="str">
        <f>IF(N4&gt;N3,"FF calculés supérieurs au budget de FF.","")</f>
        <v/>
      </c>
      <c r="P15" s="1283" t="s">
        <v>466</v>
      </c>
      <c r="Q15" s="1284"/>
      <c r="R15" s="917">
        <f>BILAN!S65-(R4+R6+R8+R10+R12+R14)</f>
        <v>1855</v>
      </c>
    </row>
    <row r="16" spans="1:42" s="4" customFormat="1" ht="10.199999999999999">
      <c r="F16" s="32" t="str">
        <f>IF(K6&lt;&gt;D21,"Rbt FP conseillé différent du rbt réel.","")</f>
        <v/>
      </c>
      <c r="AA16" s="10" t="s">
        <v>471</v>
      </c>
      <c r="AB16" s="17"/>
      <c r="AE16" s="938">
        <v>34335</v>
      </c>
      <c r="AF16" s="938">
        <v>35125</v>
      </c>
      <c r="AG16" s="938">
        <v>35855</v>
      </c>
      <c r="AH16" s="938">
        <v>39083</v>
      </c>
      <c r="AI16" s="938">
        <v>39692</v>
      </c>
      <c r="AJ16" s="938">
        <v>39995</v>
      </c>
      <c r="AK16" s="939">
        <v>40299</v>
      </c>
    </row>
    <row r="17" spans="1:41" s="4" customFormat="1" ht="13.8">
      <c r="F17" s="119"/>
      <c r="H17" s="129" t="e">
        <f>#NULL!</f>
        <v>#NULL!</v>
      </c>
      <c r="P17" s="7"/>
      <c r="Q17" s="8"/>
      <c r="R17" s="33" t="s">
        <v>205</v>
      </c>
      <c r="S17" s="34"/>
      <c r="T17" s="35" t="s">
        <v>43</v>
      </c>
      <c r="U17" s="8"/>
      <c r="V17" s="10" t="s">
        <v>44</v>
      </c>
      <c r="W17" s="8"/>
      <c r="X17" s="10" t="s">
        <v>206</v>
      </c>
      <c r="Y17" s="8"/>
      <c r="Z17" s="10" t="s">
        <v>46</v>
      </c>
      <c r="AA17" s="917">
        <f>(BILAN!S100+BILAN!S101)</f>
        <v>102</v>
      </c>
      <c r="AB17" s="17"/>
      <c r="AC17" s="7" t="s">
        <v>194</v>
      </c>
      <c r="AD17" s="8"/>
      <c r="AE17" s="940">
        <v>5.7999999999999996E-3</v>
      </c>
      <c r="AF17" s="940">
        <v>5.0000000000000001E-3</v>
      </c>
      <c r="AG17" s="940">
        <v>4.1999999999999997E-3</v>
      </c>
      <c r="AH17" s="940">
        <v>5.4999999999999997E-3</v>
      </c>
      <c r="AI17" s="940">
        <v>5.8300000000000001E-3</v>
      </c>
      <c r="AJ17" s="940">
        <v>5.2500000000000003E-3</v>
      </c>
      <c r="AK17" s="941">
        <v>4.1700000000000001E-3</v>
      </c>
      <c r="AL17" s="39"/>
      <c r="AM17" s="39"/>
      <c r="AN17" s="39"/>
      <c r="AO17" s="39"/>
    </row>
    <row r="18" spans="1:41" s="4" customFormat="1" ht="10.8" thickBot="1">
      <c r="F18" s="32"/>
      <c r="P18" s="13" t="s">
        <v>39</v>
      </c>
      <c r="Q18" s="14">
        <v>0.19600000000000001</v>
      </c>
      <c r="R18" s="1028"/>
      <c r="S18" s="36"/>
      <c r="T18" s="1065"/>
      <c r="U18" s="37"/>
      <c r="V18" s="1023"/>
      <c r="W18" s="38"/>
      <c r="X18" s="1023"/>
      <c r="Y18" s="38"/>
      <c r="Z18" s="1066"/>
      <c r="AA18" s="873">
        <f>IF(Z18=0,0,T1_CA*Z18)</f>
        <v>0</v>
      </c>
      <c r="AB18" s="17"/>
      <c r="AC18" s="29"/>
      <c r="AE18" s="942"/>
      <c r="AF18" s="942"/>
      <c r="AG18" s="942"/>
      <c r="AH18" s="942"/>
      <c r="AI18" s="942"/>
      <c r="AJ18" s="942"/>
      <c r="AK18" s="943"/>
      <c r="AL18" s="39"/>
      <c r="AM18" s="39"/>
      <c r="AN18" s="39"/>
      <c r="AO18" s="39"/>
    </row>
    <row r="19" spans="1:41" s="4" customFormat="1" ht="10.8" thickBot="1">
      <c r="A19" s="125" t="s">
        <v>216</v>
      </c>
      <c r="B19" s="41"/>
      <c r="C19" s="4" t="s">
        <v>169</v>
      </c>
      <c r="D19" s="17" t="s">
        <v>202</v>
      </c>
      <c r="E19" s="4" t="s">
        <v>468</v>
      </c>
      <c r="F19" s="17" t="s">
        <v>202</v>
      </c>
      <c r="G19" s="4" t="s">
        <v>468</v>
      </c>
      <c r="H19" s="17" t="s">
        <v>202</v>
      </c>
      <c r="I19" s="4" t="s">
        <v>468</v>
      </c>
      <c r="J19" s="17" t="s">
        <v>202</v>
      </c>
      <c r="K19" s="4" t="s">
        <v>468</v>
      </c>
      <c r="L19" s="17" t="s">
        <v>202</v>
      </c>
      <c r="M19" s="4" t="s">
        <v>468</v>
      </c>
      <c r="N19" s="403" t="s">
        <v>466</v>
      </c>
      <c r="P19" s="20"/>
      <c r="Q19" s="30"/>
      <c r="R19" s="29"/>
      <c r="Z19" s="30"/>
      <c r="AB19" s="17"/>
      <c r="AC19" s="42" t="s">
        <v>195</v>
      </c>
      <c r="AD19" s="37"/>
      <c r="AE19" s="944">
        <v>3.8E-3</v>
      </c>
      <c r="AF19" s="944">
        <v>3.8E-3</v>
      </c>
      <c r="AG19" s="944">
        <v>3.8E-3</v>
      </c>
      <c r="AH19" s="944">
        <v>5.5999999999999999E-3</v>
      </c>
      <c r="AI19" s="944">
        <v>4.1700000000000001E-3</v>
      </c>
      <c r="AJ19" s="944">
        <v>3.5799999999999998E-3</v>
      </c>
      <c r="AK19" s="945">
        <v>2.5000000000000001E-3</v>
      </c>
      <c r="AL19" s="39"/>
      <c r="AM19" s="39"/>
      <c r="AN19" s="39"/>
      <c r="AO19" s="39"/>
    </row>
    <row r="20" spans="1:41" s="4" customFormat="1" ht="10.8" thickBot="1">
      <c r="A20" s="43" t="s">
        <v>208</v>
      </c>
      <c r="B20" s="44"/>
      <c r="D20" s="1029"/>
      <c r="E20" s="1030"/>
      <c r="F20" s="1031"/>
      <c r="G20" s="1030">
        <v>0</v>
      </c>
      <c r="H20" s="1031"/>
      <c r="I20" s="1030">
        <v>0</v>
      </c>
      <c r="J20" s="1032"/>
      <c r="K20" s="1030">
        <v>0</v>
      </c>
      <c r="L20" s="1032"/>
      <c r="M20" s="1030">
        <v>0</v>
      </c>
      <c r="N20" s="1081">
        <f>IF(APPORT_PROMO&gt;=0.08,(PR_REV.TOT_HT*0.08)-(E20+G20+I20+K20+M20),BILAN!R28-(E20+G20+I20+K20+M20))</f>
        <v>287.60000000000002</v>
      </c>
      <c r="P20" s="13" t="s">
        <v>50</v>
      </c>
      <c r="Q20" s="14">
        <v>0.19600000000000001</v>
      </c>
      <c r="R20" s="1028">
        <v>0</v>
      </c>
      <c r="S20" s="36"/>
      <c r="T20" s="1065"/>
      <c r="U20" s="37"/>
      <c r="V20" s="1023"/>
      <c r="W20" s="38"/>
      <c r="X20" s="1023"/>
      <c r="Y20" s="38"/>
      <c r="Z20" s="1066"/>
      <c r="AA20" s="873">
        <f>IF(Z20=0,0,T2_CA*Z20)</f>
        <v>0</v>
      </c>
      <c r="AB20" s="17"/>
      <c r="AL20" s="39"/>
      <c r="AM20" s="39"/>
      <c r="AN20" s="39"/>
      <c r="AO20" s="39"/>
    </row>
    <row r="21" spans="1:41" s="4" customFormat="1" ht="10.8" thickBot="1">
      <c r="A21" s="45" t="s">
        <v>209</v>
      </c>
      <c r="B21" s="46"/>
      <c r="D21" s="1033"/>
      <c r="E21" s="1034"/>
      <c r="F21" s="1035"/>
      <c r="G21" s="1034">
        <v>0</v>
      </c>
      <c r="H21" s="1035"/>
      <c r="I21" s="1034">
        <v>0</v>
      </c>
      <c r="J21" s="1036"/>
      <c r="K21" s="1034">
        <v>0</v>
      </c>
      <c r="L21" s="1036"/>
      <c r="M21" s="1034">
        <v>0</v>
      </c>
      <c r="N21" s="1082">
        <f>IF(APPORT_PROMO&gt;=0.08,(PR_REV.TOT_HT*0.08)-(E21+G21+I21+K21+M21),BILAN!R29-(E21+G21+I21+K21+M21))</f>
        <v>287.60000000000002</v>
      </c>
      <c r="P21" s="20"/>
      <c r="Q21" s="30"/>
      <c r="R21" s="29"/>
      <c r="Z21" s="30"/>
      <c r="AB21" s="17"/>
      <c r="AL21" s="39"/>
      <c r="AM21" s="39"/>
      <c r="AN21" s="39"/>
      <c r="AO21" s="39"/>
    </row>
    <row r="22" spans="1:41" s="4" customFormat="1" ht="10.8" thickBot="1">
      <c r="A22" s="45"/>
      <c r="B22" s="127"/>
      <c r="D22" s="120"/>
      <c r="E22" s="121"/>
      <c r="F22" s="120"/>
      <c r="G22" s="121"/>
      <c r="H22" s="120"/>
      <c r="I22" s="121"/>
      <c r="J22" s="122"/>
      <c r="K22" s="121"/>
      <c r="L22" s="122"/>
      <c r="M22" s="121"/>
      <c r="N22" s="22"/>
      <c r="P22" s="13" t="s">
        <v>52</v>
      </c>
      <c r="Q22" s="14">
        <v>0.19600000000000001</v>
      </c>
      <c r="R22" s="1028">
        <v>0</v>
      </c>
      <c r="S22" s="36"/>
      <c r="T22" s="1065"/>
      <c r="U22" s="37"/>
      <c r="V22" s="1023"/>
      <c r="W22" s="38"/>
      <c r="X22" s="1023"/>
      <c r="Y22" s="38"/>
      <c r="Z22" s="1066"/>
      <c r="AA22" s="873">
        <f>IF(Z22=0,0,T3_CA*Z22)</f>
        <v>0</v>
      </c>
      <c r="AE22" s="10" t="s">
        <v>29</v>
      </c>
      <c r="AF22" s="10" t="s">
        <v>30</v>
      </c>
      <c r="AG22" s="10" t="s">
        <v>31</v>
      </c>
      <c r="AH22" s="10" t="s">
        <v>32</v>
      </c>
      <c r="AI22" s="10" t="s">
        <v>33</v>
      </c>
      <c r="AJ22" s="10" t="s">
        <v>34</v>
      </c>
      <c r="AK22" s="10" t="s">
        <v>35</v>
      </c>
    </row>
    <row r="23" spans="1:41" s="4" customFormat="1" ht="12" customHeight="1" thickBot="1">
      <c r="A23" s="123" t="s">
        <v>222</v>
      </c>
      <c r="B23" s="124"/>
      <c r="C23" s="53">
        <f>IF(BILAN!R27&gt;=0.08,APPORT_PROMO-0.08,0)</f>
        <v>0</v>
      </c>
      <c r="D23" s="62"/>
      <c r="E23" s="22"/>
      <c r="F23" s="62"/>
      <c r="G23" s="22"/>
      <c r="H23" s="62"/>
      <c r="I23" s="22"/>
      <c r="J23" s="59"/>
      <c r="K23" s="22"/>
      <c r="L23" s="59"/>
      <c r="M23" s="22"/>
      <c r="N23" s="22"/>
      <c r="P23" s="29"/>
      <c r="Q23" s="30"/>
      <c r="Z23" s="30"/>
      <c r="AC23" s="49" t="s">
        <v>24</v>
      </c>
      <c r="AD23" s="50"/>
      <c r="AE23" s="51">
        <v>0.35</v>
      </c>
      <c r="AF23" s="51">
        <v>0.55000000000000004</v>
      </c>
      <c r="AG23" s="51">
        <v>0.65</v>
      </c>
      <c r="AH23" s="51">
        <v>0.7</v>
      </c>
      <c r="AI23" s="51">
        <v>0.85</v>
      </c>
      <c r="AJ23" s="51">
        <v>0.9</v>
      </c>
      <c r="AK23" s="51">
        <v>1</v>
      </c>
    </row>
    <row r="24" spans="1:41" s="4" customFormat="1" ht="10.8" thickBot="1">
      <c r="C24" s="47"/>
      <c r="P24" s="13" t="s">
        <v>54</v>
      </c>
      <c r="Q24" s="14">
        <v>0.19600000000000001</v>
      </c>
      <c r="R24" s="1028">
        <v>0</v>
      </c>
      <c r="S24" s="36"/>
      <c r="T24" s="1065"/>
      <c r="U24" s="37"/>
      <c r="V24" s="1023"/>
      <c r="W24" s="38"/>
      <c r="X24" s="1023"/>
      <c r="Y24" s="38"/>
      <c r="Z24" s="1066"/>
      <c r="AA24" s="873">
        <f>IF(Z24=0,0,T4_CA*Z24)</f>
        <v>0</v>
      </c>
      <c r="AC24" s="54" t="s">
        <v>25</v>
      </c>
      <c r="AD24" s="55" t="s">
        <v>196</v>
      </c>
      <c r="AE24" s="51">
        <v>9.5000000000000001E-2</v>
      </c>
      <c r="AF24" s="51">
        <v>0.28499999999999998</v>
      </c>
      <c r="AG24" s="51">
        <v>0.47499999999999998</v>
      </c>
      <c r="AH24" s="51">
        <v>0.56999999999999995</v>
      </c>
      <c r="AI24" s="51">
        <v>0.76</v>
      </c>
      <c r="AJ24" s="51">
        <v>0.85499999999999998</v>
      </c>
      <c r="AK24" s="51">
        <v>0.95</v>
      </c>
    </row>
    <row r="25" spans="1:41" s="4" customFormat="1" ht="10.8" thickBot="1">
      <c r="A25" s="40" t="s">
        <v>9</v>
      </c>
      <c r="B25" s="48"/>
      <c r="C25" s="47" t="s">
        <v>7</v>
      </c>
      <c r="D25" s="17" t="s">
        <v>202</v>
      </c>
      <c r="E25" s="4" t="s">
        <v>468</v>
      </c>
      <c r="F25" s="17" t="s">
        <v>202</v>
      </c>
      <c r="G25" s="4" t="s">
        <v>468</v>
      </c>
      <c r="H25" s="17" t="s">
        <v>202</v>
      </c>
      <c r="I25" s="4" t="s">
        <v>468</v>
      </c>
      <c r="J25" s="17" t="s">
        <v>202</v>
      </c>
      <c r="K25" s="4" t="s">
        <v>468</v>
      </c>
      <c r="L25" s="17" t="s">
        <v>202</v>
      </c>
      <c r="M25" s="4" t="s">
        <v>468</v>
      </c>
      <c r="N25" s="403" t="s">
        <v>466</v>
      </c>
      <c r="P25" s="20"/>
      <c r="Q25" s="30"/>
      <c r="R25" s="29"/>
      <c r="Z25" s="30"/>
      <c r="AC25" s="56"/>
      <c r="AD25" s="55" t="s">
        <v>197</v>
      </c>
      <c r="AE25" s="51">
        <v>9.7000000000000003E-2</v>
      </c>
      <c r="AF25" s="51">
        <v>0.29099999999999998</v>
      </c>
      <c r="AG25" s="51">
        <v>0.48499999999999999</v>
      </c>
      <c r="AH25" s="51">
        <v>0.58199999999999996</v>
      </c>
      <c r="AI25" s="51">
        <v>0.77600000000000002</v>
      </c>
      <c r="AJ25" s="51">
        <v>0.873</v>
      </c>
      <c r="AK25" s="51">
        <v>0.97</v>
      </c>
    </row>
    <row r="26" spans="1:41" s="4" customFormat="1" ht="10.199999999999999">
      <c r="A26" s="52" t="s">
        <v>14</v>
      </c>
      <c r="B26" s="44"/>
      <c r="C26" s="53">
        <f>BILAN!G38/100</f>
        <v>0.2</v>
      </c>
      <c r="D26" s="1037"/>
      <c r="E26" s="1038"/>
      <c r="F26" s="1039"/>
      <c r="G26" s="1040">
        <v>0</v>
      </c>
      <c r="H26" s="1039"/>
      <c r="I26" s="1040">
        <v>0</v>
      </c>
      <c r="J26" s="1041"/>
      <c r="K26" s="1040">
        <v>0</v>
      </c>
      <c r="L26" s="1042"/>
      <c r="M26" s="1040">
        <v>0</v>
      </c>
      <c r="N26" s="1083">
        <f>BILAN!U38-(M26+K26+I26+G26+E26)</f>
        <v>504</v>
      </c>
      <c r="P26" s="13" t="s">
        <v>56</v>
      </c>
      <c r="Q26" s="14">
        <v>0.19600000000000001</v>
      </c>
      <c r="R26" s="1028"/>
      <c r="S26" s="36"/>
      <c r="T26" s="1065"/>
      <c r="U26" s="37"/>
      <c r="V26" s="1023"/>
      <c r="W26" s="38"/>
      <c r="X26" s="1023"/>
      <c r="Y26" s="38"/>
      <c r="Z26" s="1066"/>
      <c r="AA26" s="873">
        <f>IF(Z26=0,0,T5_CA*Z26)</f>
        <v>0</v>
      </c>
    </row>
    <row r="27" spans="1:41" s="4" customFormat="1" ht="10.199999999999999">
      <c r="A27" s="52" t="s">
        <v>15</v>
      </c>
      <c r="B27" s="44"/>
      <c r="C27" s="53">
        <f>BILAN!G39/100</f>
        <v>0</v>
      </c>
      <c r="D27" s="1043"/>
      <c r="E27" s="1044"/>
      <c r="F27" s="1045"/>
      <c r="G27" s="1046">
        <v>0</v>
      </c>
      <c r="H27" s="1045"/>
      <c r="I27" s="1046">
        <v>0</v>
      </c>
      <c r="J27" s="1047"/>
      <c r="K27" s="1046">
        <v>0</v>
      </c>
      <c r="L27" s="1047"/>
      <c r="M27" s="1046">
        <v>0</v>
      </c>
      <c r="N27" s="1084">
        <f>BILAN!U39-(M27+K27+I27+G27+E27)</f>
        <v>8</v>
      </c>
      <c r="P27" s="20"/>
      <c r="Q27" s="30"/>
      <c r="R27" s="29"/>
      <c r="Z27" s="30"/>
    </row>
    <row r="28" spans="1:41" s="4" customFormat="1" ht="10.199999999999999">
      <c r="A28" s="877" t="s">
        <v>380</v>
      </c>
      <c r="B28" s="44"/>
      <c r="C28" s="53">
        <f>BILAN!G40/100</f>
        <v>0</v>
      </c>
      <c r="D28" s="1043"/>
      <c r="E28" s="1044">
        <v>0</v>
      </c>
      <c r="F28" s="1045"/>
      <c r="G28" s="1046">
        <v>0</v>
      </c>
      <c r="H28" s="1045"/>
      <c r="I28" s="1046">
        <v>0</v>
      </c>
      <c r="J28" s="1047"/>
      <c r="K28" s="1046">
        <v>0</v>
      </c>
      <c r="L28" s="1047"/>
      <c r="M28" s="1046">
        <v>0</v>
      </c>
      <c r="N28" s="1084">
        <f>BILAN!U40-(M28+K28+I28+G28+E28)</f>
        <v>0</v>
      </c>
      <c r="P28" s="13" t="s">
        <v>58</v>
      </c>
      <c r="Q28" s="14">
        <v>0.19600000000000001</v>
      </c>
      <c r="R28" s="1028"/>
      <c r="S28" s="36"/>
      <c r="T28" s="1065"/>
      <c r="U28" s="37"/>
      <c r="V28" s="1023"/>
      <c r="W28" s="38"/>
      <c r="X28" s="1023"/>
      <c r="Y28" s="38"/>
      <c r="Z28" s="1066"/>
      <c r="AA28" s="873">
        <f>IF(Z28=0,0,T6_CA*Z28)</f>
        <v>0</v>
      </c>
      <c r="AC28" s="4" t="s">
        <v>522</v>
      </c>
      <c r="AD28" s="17"/>
      <c r="AE28" s="10" t="s">
        <v>523</v>
      </c>
    </row>
    <row r="29" spans="1:41" s="4" customFormat="1" ht="10.199999999999999">
      <c r="A29" s="52" t="s">
        <v>381</v>
      </c>
      <c r="B29" s="44"/>
      <c r="C29" s="53">
        <f>BILAN!G41/100</f>
        <v>0.2</v>
      </c>
      <c r="D29" s="1043"/>
      <c r="E29" s="1044"/>
      <c r="F29" s="1045"/>
      <c r="G29" s="1046">
        <v>0</v>
      </c>
      <c r="H29" s="1045"/>
      <c r="I29" s="1046">
        <v>0</v>
      </c>
      <c r="J29" s="1047"/>
      <c r="K29" s="1046">
        <v>0</v>
      </c>
      <c r="L29" s="1047"/>
      <c r="M29" s="1046">
        <v>0</v>
      </c>
      <c r="N29" s="1084">
        <f>BILAN!U41-(M29+K29+I29+G29+E29)</f>
        <v>17</v>
      </c>
      <c r="P29" s="1283" t="s">
        <v>466</v>
      </c>
      <c r="Q29" s="1284"/>
      <c r="R29" s="916">
        <f>PVTOT_TTC-(T1_CA+T2_CA+T3_CA+T4_CA+T5_CA+T6_CA)</f>
        <v>4496</v>
      </c>
      <c r="T29" s="834">
        <f>(NB_LOTS)-(T18+T20+T22+T24+T26+T28)</f>
        <v>22</v>
      </c>
      <c r="AA29" s="917">
        <f>(BILAN!S100+BILAN!S101)-(AA18+AA20+AA22+AA24+AA26+AA28)</f>
        <v>102</v>
      </c>
      <c r="AD29" s="946"/>
      <c r="AE29" s="947">
        <v>0.2</v>
      </c>
    </row>
    <row r="30" spans="1:41" s="4" customFormat="1" ht="10.199999999999999">
      <c r="A30" s="52" t="s">
        <v>382</v>
      </c>
      <c r="B30" s="44"/>
      <c r="C30" s="53">
        <f>BILAN!G42/100</f>
        <v>0.2</v>
      </c>
      <c r="D30" s="1043"/>
      <c r="E30" s="1044"/>
      <c r="F30" s="1045"/>
      <c r="G30" s="1046">
        <v>0</v>
      </c>
      <c r="H30" s="1045"/>
      <c r="I30" s="1046">
        <v>0</v>
      </c>
      <c r="J30" s="1047"/>
      <c r="K30" s="1046">
        <v>0</v>
      </c>
      <c r="L30" s="1047"/>
      <c r="M30" s="1046">
        <v>0</v>
      </c>
      <c r="N30" s="1084">
        <f>BILAN!U42-(M30+K30+I30+G30+E30)</f>
        <v>0</v>
      </c>
      <c r="R30" s="835">
        <f>ROUND(_REP1+_REP2+_REP3+_REP4+_REP5+_REP6,0)</f>
        <v>7898</v>
      </c>
    </row>
    <row r="31" spans="1:41" s="4" customFormat="1" ht="10.199999999999999">
      <c r="A31" s="52" t="s">
        <v>383</v>
      </c>
      <c r="B31" s="44"/>
      <c r="C31" s="53">
        <f>BILAN!G43/100</f>
        <v>0.2</v>
      </c>
      <c r="D31" s="1043"/>
      <c r="E31" s="1044">
        <v>0</v>
      </c>
      <c r="F31" s="1045"/>
      <c r="G31" s="1046">
        <v>0</v>
      </c>
      <c r="H31" s="1045"/>
      <c r="I31" s="1046">
        <v>0</v>
      </c>
      <c r="J31" s="1047"/>
      <c r="K31" s="1046">
        <v>0</v>
      </c>
      <c r="L31" s="1047"/>
      <c r="M31" s="1046">
        <v>0</v>
      </c>
      <c r="N31" s="1084">
        <f>BILAN!U43-(M31+K31+I31+G31+E31)</f>
        <v>0</v>
      </c>
      <c r="R31" s="19"/>
    </row>
    <row r="32" spans="1:41" s="4" customFormat="1" ht="10.199999999999999">
      <c r="A32" s="52" t="s">
        <v>16</v>
      </c>
      <c r="B32" s="44"/>
      <c r="C32" s="53">
        <f>BILAN!G44/100</f>
        <v>0.2</v>
      </c>
      <c r="D32" s="1043"/>
      <c r="E32" s="1044"/>
      <c r="F32" s="1045"/>
      <c r="G32" s="1046">
        <v>0</v>
      </c>
      <c r="H32" s="1045"/>
      <c r="I32" s="1046">
        <v>0</v>
      </c>
      <c r="J32" s="1047"/>
      <c r="K32" s="1046">
        <v>0</v>
      </c>
      <c r="L32" s="1047"/>
      <c r="M32" s="1046">
        <v>0</v>
      </c>
      <c r="N32" s="1084">
        <f>BILAN!U44-(M32+K32+I32+G32+E32)</f>
        <v>0</v>
      </c>
      <c r="Q32" s="17" t="s">
        <v>169</v>
      </c>
      <c r="R32" s="19"/>
      <c r="U32" s="31" t="s">
        <v>169</v>
      </c>
    </row>
    <row r="33" spans="1:33" s="4" customFormat="1" ht="10.199999999999999">
      <c r="A33" s="52" t="s">
        <v>491</v>
      </c>
      <c r="B33" s="44"/>
      <c r="C33" s="53">
        <f>BILAN!G45/100</f>
        <v>0.2</v>
      </c>
      <c r="D33" s="1043"/>
      <c r="E33" s="1044"/>
      <c r="F33" s="1045"/>
      <c r="G33" s="1046">
        <v>0</v>
      </c>
      <c r="H33" s="1045"/>
      <c r="I33" s="1046">
        <v>0</v>
      </c>
      <c r="J33" s="1047"/>
      <c r="K33" s="1046">
        <v>0</v>
      </c>
      <c r="L33" s="1047"/>
      <c r="M33" s="1046">
        <v>0</v>
      </c>
      <c r="N33" s="1084">
        <f>BILAN!U45-(M33+K33+I33+G33+E33)</f>
        <v>0</v>
      </c>
      <c r="Q33" s="17" t="s">
        <v>210</v>
      </c>
      <c r="R33" s="19"/>
      <c r="U33" s="31" t="s">
        <v>211</v>
      </c>
    </row>
    <row r="34" spans="1:33" s="4" customFormat="1" ht="10.8" thickBot="1">
      <c r="A34" s="889">
        <f>BILAN!B46</f>
        <v>0</v>
      </c>
      <c r="B34" s="44"/>
      <c r="C34" s="53">
        <f>BILAN!G46/100</f>
        <v>0.2</v>
      </c>
      <c r="D34" s="1033"/>
      <c r="E34" s="1048"/>
      <c r="F34" s="1035"/>
      <c r="G34" s="1034">
        <v>0</v>
      </c>
      <c r="H34" s="1035"/>
      <c r="I34" s="1034">
        <v>0</v>
      </c>
      <c r="J34" s="1049"/>
      <c r="K34" s="1034">
        <v>0</v>
      </c>
      <c r="L34" s="1049"/>
      <c r="M34" s="1034">
        <v>0</v>
      </c>
      <c r="N34" s="1085">
        <f>BILAN!U46-(M34+K34+I34+G34+E34)</f>
        <v>0</v>
      </c>
      <c r="Q34" s="17"/>
      <c r="R34" s="17"/>
      <c r="S34" s="17"/>
    </row>
    <row r="35" spans="1:33" s="4" customFormat="1" ht="10.199999999999999">
      <c r="A35" s="878"/>
      <c r="B35" s="48"/>
      <c r="C35" s="58"/>
      <c r="D35" s="59"/>
      <c r="F35" s="59"/>
      <c r="H35" s="59"/>
      <c r="J35" s="59"/>
      <c r="L35" s="59"/>
      <c r="N35" s="1086">
        <f>SUM(N26:N34)</f>
        <v>529</v>
      </c>
      <c r="P35" s="7"/>
      <c r="Q35" s="7"/>
      <c r="R35" s="1037"/>
      <c r="S35" s="1067"/>
      <c r="T35" s="1039"/>
      <c r="U35" s="1067"/>
      <c r="V35" s="1039"/>
      <c r="W35" s="1067"/>
      <c r="X35" s="1050"/>
      <c r="Y35" s="1067"/>
      <c r="Z35" s="1050"/>
      <c r="AA35" s="1067"/>
    </row>
    <row r="36" spans="1:33" s="4" customFormat="1" ht="10.8" thickBot="1">
      <c r="A36" s="63" t="s">
        <v>17</v>
      </c>
      <c r="B36" s="64"/>
      <c r="C36" s="58"/>
      <c r="D36" s="59"/>
      <c r="F36" s="59"/>
      <c r="H36" s="59"/>
      <c r="J36" s="59"/>
      <c r="L36" s="59"/>
      <c r="P36" s="20" t="s">
        <v>39</v>
      </c>
      <c r="Q36" s="60" t="s">
        <v>113</v>
      </c>
      <c r="R36" s="1033"/>
      <c r="S36" s="1068"/>
      <c r="T36" s="1035"/>
      <c r="U36" s="1068"/>
      <c r="V36" s="1035"/>
      <c r="W36" s="1068"/>
      <c r="X36" s="1036"/>
      <c r="Y36" s="1068"/>
      <c r="Z36" s="1036"/>
      <c r="AA36" s="1068"/>
    </row>
    <row r="37" spans="1:33" s="4" customFormat="1" ht="10.199999999999999">
      <c r="A37" s="52" t="s">
        <v>464</v>
      </c>
      <c r="B37" s="44"/>
      <c r="C37" s="53">
        <f>BILAN!G48/100</f>
        <v>0</v>
      </c>
      <c r="D37" s="1037"/>
      <c r="E37" s="1040"/>
      <c r="F37" s="1039"/>
      <c r="G37" s="1040"/>
      <c r="H37" s="1039"/>
      <c r="I37" s="1040">
        <v>0</v>
      </c>
      <c r="J37" s="1050"/>
      <c r="K37" s="1040">
        <v>0</v>
      </c>
      <c r="L37" s="1050"/>
      <c r="M37" s="1040">
        <v>0</v>
      </c>
      <c r="N37" s="1081">
        <f>BILAN!U48-(M37+K37+I37+G37+E37)</f>
        <v>30</v>
      </c>
      <c r="P37" s="61"/>
      <c r="Q37" s="29"/>
      <c r="R37" s="1043"/>
      <c r="S37" s="1069"/>
      <c r="T37" s="1045"/>
      <c r="U37" s="1069"/>
      <c r="V37" s="1045"/>
      <c r="W37" s="1069"/>
      <c r="X37" s="1051"/>
      <c r="Y37" s="1069"/>
      <c r="Z37" s="1051"/>
      <c r="AA37" s="1069"/>
    </row>
    <row r="38" spans="1:33" s="4" customFormat="1" ht="10.8" thickBot="1">
      <c r="A38" s="52" t="s">
        <v>389</v>
      </c>
      <c r="B38" s="44"/>
      <c r="C38" s="53">
        <f>BILAN!G49/100</f>
        <v>0</v>
      </c>
      <c r="D38" s="1043"/>
      <c r="E38" s="1046"/>
      <c r="F38" s="1045"/>
      <c r="G38" s="1046"/>
      <c r="H38" s="1045"/>
      <c r="I38" s="1046">
        <v>0</v>
      </c>
      <c r="J38" s="1051"/>
      <c r="K38" s="1046">
        <v>0</v>
      </c>
      <c r="L38" s="1051"/>
      <c r="M38" s="1046">
        <v>0</v>
      </c>
      <c r="N38" s="1087">
        <f>BILAN!U49-(M38+K38+I38+G38+E38)</f>
        <v>59</v>
      </c>
      <c r="P38" s="20" t="s">
        <v>50</v>
      </c>
      <c r="Q38" s="60" t="s">
        <v>113</v>
      </c>
      <c r="R38" s="1033"/>
      <c r="S38" s="1068"/>
      <c r="T38" s="1035"/>
      <c r="U38" s="1068"/>
      <c r="V38" s="1035"/>
      <c r="W38" s="1068"/>
      <c r="X38" s="1036"/>
      <c r="Y38" s="1068"/>
      <c r="Z38" s="1036"/>
      <c r="AA38" s="1068"/>
    </row>
    <row r="39" spans="1:33" s="4" customFormat="1" ht="10.199999999999999">
      <c r="A39" s="52" t="s">
        <v>390</v>
      </c>
      <c r="B39" s="44"/>
      <c r="C39" s="53">
        <f>BILAN!G50/100</f>
        <v>0</v>
      </c>
      <c r="D39" s="1043"/>
      <c r="E39" s="1046">
        <v>0</v>
      </c>
      <c r="F39" s="1045"/>
      <c r="G39" s="1046">
        <v>0</v>
      </c>
      <c r="H39" s="1045"/>
      <c r="I39" s="1046">
        <v>0</v>
      </c>
      <c r="J39" s="1051"/>
      <c r="K39" s="1046">
        <v>0</v>
      </c>
      <c r="L39" s="1051"/>
      <c r="M39" s="1046">
        <v>0</v>
      </c>
      <c r="N39" s="1087">
        <f>BILAN!U50-(M39+K39+I39+G39+E39)</f>
        <v>0</v>
      </c>
      <c r="P39" s="61"/>
      <c r="Q39" s="29"/>
      <c r="R39" s="1043"/>
      <c r="S39" s="1069"/>
      <c r="T39" s="1045"/>
      <c r="U39" s="1069"/>
      <c r="V39" s="1045"/>
      <c r="W39" s="1069"/>
      <c r="X39" s="1051"/>
      <c r="Y39" s="1069"/>
      <c r="Z39" s="1051"/>
      <c r="AA39" s="1069"/>
    </row>
    <row r="40" spans="1:33" s="4" customFormat="1" ht="10.8" thickBot="1">
      <c r="A40" s="52" t="s">
        <v>465</v>
      </c>
      <c r="B40" s="44"/>
      <c r="C40" s="53">
        <f>BILAN!G51/100</f>
        <v>0.2</v>
      </c>
      <c r="D40" s="1043"/>
      <c r="E40" s="1046">
        <v>0</v>
      </c>
      <c r="F40" s="1045"/>
      <c r="G40" s="1046">
        <v>0</v>
      </c>
      <c r="H40" s="1045"/>
      <c r="I40" s="1046">
        <v>0</v>
      </c>
      <c r="J40" s="1051"/>
      <c r="K40" s="1046">
        <v>0</v>
      </c>
      <c r="L40" s="1051"/>
      <c r="M40" s="1046">
        <v>0</v>
      </c>
      <c r="N40" s="1087">
        <f>BILAN!U51-(M40+K40+I40+G40+E40)</f>
        <v>0</v>
      </c>
      <c r="P40" s="13" t="s">
        <v>52</v>
      </c>
      <c r="Q40" s="60" t="s">
        <v>113</v>
      </c>
      <c r="R40" s="1033"/>
      <c r="S40" s="1068"/>
      <c r="T40" s="1035"/>
      <c r="U40" s="1068"/>
      <c r="V40" s="1035"/>
      <c r="W40" s="1068"/>
      <c r="X40" s="1036"/>
      <c r="Y40" s="1068"/>
      <c r="Z40" s="1036"/>
      <c r="AA40" s="1068"/>
      <c r="AG40" s="17"/>
    </row>
    <row r="41" spans="1:33" s="4" customFormat="1" ht="10.199999999999999">
      <c r="A41" s="52" t="s">
        <v>525</v>
      </c>
      <c r="B41" s="44"/>
      <c r="C41" s="53">
        <f>BILAN!G52/100</f>
        <v>0</v>
      </c>
      <c r="D41" s="1043"/>
      <c r="E41" s="1046">
        <v>0</v>
      </c>
      <c r="F41" s="1045"/>
      <c r="G41" s="1046">
        <v>0</v>
      </c>
      <c r="H41" s="1045"/>
      <c r="I41" s="1046">
        <v>0</v>
      </c>
      <c r="J41" s="1051"/>
      <c r="K41" s="1046">
        <v>0</v>
      </c>
      <c r="L41" s="1051"/>
      <c r="M41" s="1046">
        <v>0</v>
      </c>
      <c r="N41" s="1087">
        <f>BILAN!U52-(M41+K41+I41+G41+E41)</f>
        <v>5</v>
      </c>
      <c r="P41" s="7"/>
      <c r="Q41" s="7"/>
      <c r="R41" s="1037"/>
      <c r="S41" s="1067"/>
      <c r="T41" s="1039"/>
      <c r="U41" s="1067"/>
      <c r="V41" s="1039"/>
      <c r="W41" s="1067"/>
      <c r="X41" s="1050"/>
      <c r="Y41" s="1067"/>
      <c r="Z41" s="1050"/>
      <c r="AA41" s="1067"/>
      <c r="AG41" s="17"/>
    </row>
    <row r="42" spans="1:33" s="4" customFormat="1" ht="10.8" thickBot="1">
      <c r="A42" s="57" t="str">
        <f>BILAN!B53</f>
        <v xml:space="preserve"> </v>
      </c>
      <c r="B42" s="46"/>
      <c r="C42" s="53">
        <f>BILAN!G53/100</f>
        <v>0.2</v>
      </c>
      <c r="D42" s="1033"/>
      <c r="E42" s="1034">
        <v>0</v>
      </c>
      <c r="F42" s="1035"/>
      <c r="G42" s="1034">
        <v>0</v>
      </c>
      <c r="H42" s="1035"/>
      <c r="I42" s="1034">
        <v>0</v>
      </c>
      <c r="J42" s="1036"/>
      <c r="K42" s="1034">
        <v>0</v>
      </c>
      <c r="L42" s="1036"/>
      <c r="M42" s="1034">
        <v>0</v>
      </c>
      <c r="N42" s="1087">
        <f>BILAN!U53-(M42+K42+I42+G42+E42)</f>
        <v>0</v>
      </c>
      <c r="P42" s="20" t="s">
        <v>54</v>
      </c>
      <c r="Q42" s="60" t="s">
        <v>113</v>
      </c>
      <c r="R42" s="1033"/>
      <c r="S42" s="1068"/>
      <c r="T42" s="1035"/>
      <c r="U42" s="1068"/>
      <c r="V42" s="1035"/>
      <c r="W42" s="1068"/>
      <c r="X42" s="1036"/>
      <c r="Y42" s="1068"/>
      <c r="Z42" s="1036"/>
      <c r="AA42" s="1068"/>
      <c r="AG42" s="17"/>
    </row>
    <row r="43" spans="1:33" s="4" customFormat="1" ht="10.199999999999999">
      <c r="A43" s="878"/>
      <c r="B43" s="48"/>
      <c r="C43" s="58"/>
      <c r="D43" s="59"/>
      <c r="F43" s="59"/>
      <c r="H43" s="59"/>
      <c r="J43" s="59"/>
      <c r="L43" s="59"/>
      <c r="N43" s="1088">
        <f>SUM(N37:N42)</f>
        <v>94</v>
      </c>
      <c r="P43" s="61"/>
      <c r="Q43" s="29"/>
      <c r="R43" s="1043"/>
      <c r="S43" s="1069"/>
      <c r="T43" s="1045"/>
      <c r="U43" s="1069"/>
      <c r="V43" s="1045"/>
      <c r="W43" s="1069"/>
      <c r="X43" s="1051"/>
      <c r="Y43" s="1069"/>
      <c r="Z43" s="1051"/>
      <c r="AA43" s="1069"/>
      <c r="AG43" s="17"/>
    </row>
    <row r="44" spans="1:33" s="4" customFormat="1" ht="10.8" thickBot="1">
      <c r="A44" s="63" t="s">
        <v>18</v>
      </c>
      <c r="B44" s="64"/>
      <c r="C44" s="58"/>
      <c r="D44" s="59"/>
      <c r="F44" s="59"/>
      <c r="H44" s="59"/>
      <c r="J44" s="59"/>
      <c r="L44" s="59"/>
      <c r="P44" s="20" t="s">
        <v>56</v>
      </c>
      <c r="Q44" s="60" t="s">
        <v>113</v>
      </c>
      <c r="R44" s="1033"/>
      <c r="S44" s="1068"/>
      <c r="T44" s="1035"/>
      <c r="U44" s="1068"/>
      <c r="V44" s="1035"/>
      <c r="W44" s="1068"/>
      <c r="X44" s="1036"/>
      <c r="Y44" s="1068"/>
      <c r="Z44" s="1036"/>
      <c r="AA44" s="1068"/>
      <c r="AG44" s="17"/>
    </row>
    <row r="45" spans="1:33" s="4" customFormat="1" ht="10.199999999999999">
      <c r="A45" s="52" t="s">
        <v>19</v>
      </c>
      <c r="B45" s="44"/>
      <c r="C45" s="53">
        <f>BILAN!G56/100</f>
        <v>0.2</v>
      </c>
      <c r="D45" s="1039"/>
      <c r="E45" s="1040"/>
      <c r="F45" s="1052"/>
      <c r="G45" s="1040"/>
      <c r="H45" s="1052"/>
      <c r="I45" s="1040">
        <v>0</v>
      </c>
      <c r="J45" s="1052"/>
      <c r="K45" s="1040">
        <v>0</v>
      </c>
      <c r="L45" s="1052"/>
      <c r="M45" s="1040">
        <v>0</v>
      </c>
      <c r="N45" s="887"/>
      <c r="P45" s="61"/>
      <c r="Q45" s="29"/>
      <c r="R45" s="1043"/>
      <c r="S45" s="1069"/>
      <c r="T45" s="1045"/>
      <c r="U45" s="1069"/>
      <c r="V45" s="1045"/>
      <c r="W45" s="1069"/>
      <c r="X45" s="1051"/>
      <c r="Y45" s="1069"/>
      <c r="Z45" s="1051"/>
      <c r="AA45" s="1069"/>
      <c r="AG45" s="17"/>
    </row>
    <row r="46" spans="1:33" s="4" customFormat="1" ht="10.8" thickBot="1">
      <c r="A46" s="52" t="s">
        <v>20</v>
      </c>
      <c r="B46" s="44"/>
      <c r="C46" s="53">
        <f>BILAN!G56/100</f>
        <v>0.2</v>
      </c>
      <c r="D46" s="1045"/>
      <c r="E46" s="1046">
        <v>0</v>
      </c>
      <c r="F46" s="1053"/>
      <c r="G46" s="1046">
        <v>0</v>
      </c>
      <c r="H46" s="1053"/>
      <c r="I46" s="1046">
        <v>0</v>
      </c>
      <c r="J46" s="1053"/>
      <c r="K46" s="1046">
        <v>0</v>
      </c>
      <c r="L46" s="1053"/>
      <c r="M46" s="1046">
        <v>0</v>
      </c>
      <c r="N46" s="887"/>
      <c r="P46" s="13" t="s">
        <v>58</v>
      </c>
      <c r="Q46" s="60" t="s">
        <v>113</v>
      </c>
      <c r="R46" s="1033"/>
      <c r="S46" s="1068"/>
      <c r="T46" s="1035"/>
      <c r="U46" s="1068"/>
      <c r="V46" s="1035"/>
      <c r="W46" s="1068"/>
      <c r="X46" s="1036"/>
      <c r="Y46" s="1068"/>
      <c r="Z46" s="1036"/>
      <c r="AA46" s="1068"/>
      <c r="AG46" s="17"/>
    </row>
    <row r="47" spans="1:33" s="4" customFormat="1" ht="10.199999999999999">
      <c r="A47" s="52" t="s">
        <v>21</v>
      </c>
      <c r="B47" s="44"/>
      <c r="C47" s="53">
        <f>BILAN!G56/100</f>
        <v>0.2</v>
      </c>
      <c r="D47" s="1045"/>
      <c r="E47" s="1046">
        <v>0</v>
      </c>
      <c r="F47" s="1053"/>
      <c r="G47" s="1046">
        <v>0</v>
      </c>
      <c r="H47" s="1053"/>
      <c r="I47" s="1046">
        <v>0</v>
      </c>
      <c r="J47" s="1053"/>
      <c r="K47" s="1046">
        <v>0</v>
      </c>
      <c r="L47" s="1053"/>
      <c r="M47" s="1046">
        <v>0</v>
      </c>
      <c r="N47" s="887"/>
      <c r="AG47" s="17"/>
    </row>
    <row r="48" spans="1:33" s="4" customFormat="1" ht="10.199999999999999">
      <c r="A48" s="52" t="s">
        <v>22</v>
      </c>
      <c r="B48" s="44"/>
      <c r="C48" s="53">
        <f>BILAN!G56/100</f>
        <v>0.2</v>
      </c>
      <c r="D48" s="1045"/>
      <c r="E48" s="1046">
        <v>0</v>
      </c>
      <c r="F48" s="1053"/>
      <c r="G48" s="1046">
        <v>0</v>
      </c>
      <c r="H48" s="1053"/>
      <c r="I48" s="1046">
        <v>0</v>
      </c>
      <c r="J48" s="1053"/>
      <c r="K48" s="1046">
        <v>0</v>
      </c>
      <c r="L48" s="1053"/>
      <c r="M48" s="1046">
        <v>0</v>
      </c>
      <c r="N48" s="887"/>
      <c r="AG48" s="17"/>
    </row>
    <row r="49" spans="1:33" s="4" customFormat="1" ht="10.8" thickBot="1">
      <c r="A49" s="52" t="s">
        <v>23</v>
      </c>
      <c r="B49" s="44"/>
      <c r="C49" s="53">
        <f>BILAN!G56/100</f>
        <v>0.2</v>
      </c>
      <c r="D49" s="1035"/>
      <c r="E49" s="1034">
        <v>0</v>
      </c>
      <c r="F49" s="1054"/>
      <c r="G49" s="1034">
        <v>0</v>
      </c>
      <c r="H49" s="1054"/>
      <c r="I49" s="1034">
        <v>0</v>
      </c>
      <c r="J49" s="1054"/>
      <c r="K49" s="1034">
        <v>0</v>
      </c>
      <c r="L49" s="1054"/>
      <c r="M49" s="1034">
        <v>0</v>
      </c>
      <c r="N49" s="888"/>
      <c r="AG49" s="17"/>
    </row>
    <row r="50" spans="1:33" s="4" customFormat="1" ht="10.8" thickBot="1">
      <c r="A50" s="45"/>
      <c r="B50" s="46"/>
      <c r="C50" s="58"/>
      <c r="D50" s="62"/>
      <c r="E50" s="22"/>
      <c r="F50" s="62"/>
      <c r="G50" s="22"/>
      <c r="H50" s="62"/>
      <c r="I50" s="22"/>
      <c r="J50" s="62"/>
      <c r="K50" s="22"/>
      <c r="L50" s="831"/>
      <c r="M50" s="832"/>
      <c r="N50" s="1089">
        <f>BILAN!U59-(SUM(E45:E49)+SUM(G45:G49)+SUM(I45:I49)+SUM(K45:K49)+SUM(M45:M49))</f>
        <v>618</v>
      </c>
      <c r="AG50" s="17"/>
    </row>
    <row r="51" spans="1:33" s="4" customFormat="1" ht="10.8" thickBot="1">
      <c r="A51" s="40" t="s">
        <v>483</v>
      </c>
      <c r="B51" s="48"/>
      <c r="C51" s="58"/>
      <c r="AG51" s="17"/>
    </row>
    <row r="52" spans="1:33" s="4" customFormat="1" ht="10.199999999999999">
      <c r="A52" s="52" t="s">
        <v>61</v>
      </c>
      <c r="B52" s="44"/>
      <c r="C52" s="874">
        <f>BILAN!G66/100</f>
        <v>0.2</v>
      </c>
      <c r="D52" s="1037"/>
      <c r="E52" s="1040"/>
      <c r="F52" s="1052"/>
      <c r="G52" s="1040">
        <v>0</v>
      </c>
      <c r="H52" s="1052"/>
      <c r="I52" s="1040">
        <v>0</v>
      </c>
      <c r="J52" s="1055"/>
      <c r="K52" s="1040">
        <v>0</v>
      </c>
      <c r="L52" s="1055"/>
      <c r="M52" s="1040">
        <v>0</v>
      </c>
      <c r="N52" s="1081">
        <f>(BILAN!U66+BILAN!U67)-(M52+K52+I52+G52+E52)</f>
        <v>42</v>
      </c>
      <c r="AG52" s="17"/>
    </row>
    <row r="53" spans="1:33" s="4" customFormat="1" ht="10.199999999999999">
      <c r="A53" s="52" t="s">
        <v>62</v>
      </c>
      <c r="B53" s="44"/>
      <c r="C53" s="875">
        <f>BILAN!G70/100</f>
        <v>0.2</v>
      </c>
      <c r="D53" s="1043"/>
      <c r="E53" s="1046"/>
      <c r="F53" s="1053"/>
      <c r="G53" s="1046">
        <v>0</v>
      </c>
      <c r="H53" s="1053"/>
      <c r="I53" s="1046">
        <v>0</v>
      </c>
      <c r="J53" s="1056"/>
      <c r="K53" s="1046">
        <v>0</v>
      </c>
      <c r="L53" s="1056"/>
      <c r="M53" s="1046">
        <v>0</v>
      </c>
      <c r="N53" s="1087">
        <f>BILAN!U70-(M53+K53+I53+G53+E53)</f>
        <v>92</v>
      </c>
      <c r="AG53" s="17"/>
    </row>
    <row r="54" spans="1:33" s="4" customFormat="1" ht="10.199999999999999">
      <c r="A54" s="52" t="s">
        <v>63</v>
      </c>
      <c r="B54" s="44"/>
      <c r="C54" s="875">
        <f>BILAN!G71/100</f>
        <v>0.2</v>
      </c>
      <c r="D54" s="1043"/>
      <c r="E54" s="1046"/>
      <c r="F54" s="1053"/>
      <c r="G54" s="1046">
        <v>0</v>
      </c>
      <c r="H54" s="1053"/>
      <c r="I54" s="1046">
        <v>0</v>
      </c>
      <c r="J54" s="1056"/>
      <c r="K54" s="1046">
        <v>0</v>
      </c>
      <c r="L54" s="1056"/>
      <c r="M54" s="1046">
        <v>0</v>
      </c>
      <c r="N54" s="1087">
        <f>BILAN!U71-(M54+K54+I54+G54+E54)</f>
        <v>70</v>
      </c>
      <c r="AG54" s="17"/>
    </row>
    <row r="55" spans="1:33" s="4" customFormat="1" ht="10.199999999999999">
      <c r="A55" s="43" t="s">
        <v>478</v>
      </c>
      <c r="B55" s="44"/>
      <c r="C55" s="875">
        <f>BILAN!G73/100</f>
        <v>0</v>
      </c>
      <c r="D55" s="1043"/>
      <c r="E55" s="1046"/>
      <c r="F55" s="1053"/>
      <c r="G55" s="1046"/>
      <c r="H55" s="1053"/>
      <c r="I55" s="1046"/>
      <c r="J55" s="1056"/>
      <c r="K55" s="1046"/>
      <c r="L55" s="1056"/>
      <c r="M55" s="1046"/>
      <c r="N55" s="1087">
        <f>BILAN!U73-(M55+K55+I55+G55+E55)</f>
        <v>0</v>
      </c>
      <c r="AG55" s="17"/>
    </row>
    <row r="56" spans="1:33" s="4" customFormat="1" ht="10.199999999999999">
      <c r="A56" s="43" t="s">
        <v>476</v>
      </c>
      <c r="B56" s="44"/>
      <c r="C56" s="875">
        <f>BILAN!G95/100</f>
        <v>0</v>
      </c>
      <c r="D56" s="1043"/>
      <c r="E56" s="1046"/>
      <c r="F56" s="1053"/>
      <c r="G56" s="1046"/>
      <c r="H56" s="1053"/>
      <c r="I56" s="1046"/>
      <c r="J56" s="1056"/>
      <c r="K56" s="1046"/>
      <c r="L56" s="1056"/>
      <c r="M56" s="1046"/>
      <c r="N56" s="1087">
        <f>BILAN!U95-(M56+K56+I56+G56+E56)</f>
        <v>0</v>
      </c>
      <c r="AG56" s="17"/>
    </row>
    <row r="57" spans="1:33" s="4" customFormat="1" ht="10.199999999999999">
      <c r="A57" s="43" t="s">
        <v>540</v>
      </c>
      <c r="B57" s="44"/>
      <c r="C57" s="875">
        <f>(BILAN!G102+BILAN!G103)/200</f>
        <v>0.19600000000000001</v>
      </c>
      <c r="D57" s="1043"/>
      <c r="E57" s="1046">
        <v>0</v>
      </c>
      <c r="F57" s="1053"/>
      <c r="G57" s="1046">
        <v>0</v>
      </c>
      <c r="H57" s="1053"/>
      <c r="I57" s="1046">
        <v>0</v>
      </c>
      <c r="J57" s="1056"/>
      <c r="K57" s="1046">
        <v>0</v>
      </c>
      <c r="L57" s="1056"/>
      <c r="M57" s="1046">
        <v>0</v>
      </c>
      <c r="N57" s="1087">
        <f>(BILAN!U102+BILAN!U103)-(M57+K57+I57+G57+E57)</f>
        <v>60</v>
      </c>
      <c r="AG57" s="17"/>
    </row>
    <row r="58" spans="1:33" s="4" customFormat="1" ht="10.199999999999999">
      <c r="A58" s="52" t="s">
        <v>486</v>
      </c>
      <c r="B58" s="44"/>
      <c r="C58" s="875">
        <f>(BILAN!G82+BILAN!G97)/200</f>
        <v>0.2</v>
      </c>
      <c r="D58" s="1043"/>
      <c r="E58" s="1046">
        <v>0</v>
      </c>
      <c r="F58" s="1053"/>
      <c r="G58" s="1046">
        <v>0</v>
      </c>
      <c r="H58" s="1053"/>
      <c r="I58" s="1046">
        <v>0</v>
      </c>
      <c r="J58" s="1056"/>
      <c r="K58" s="1046">
        <v>0</v>
      </c>
      <c r="L58" s="1056"/>
      <c r="M58" s="1046">
        <v>0</v>
      </c>
      <c r="N58" s="1087">
        <f>(BILAN!U82+BILAN!U97)-(M58+K58+I58+G58+E58)</f>
        <v>42</v>
      </c>
      <c r="AG58" s="17"/>
    </row>
    <row r="59" spans="1:33" s="4" customFormat="1" ht="10.8" thickBot="1">
      <c r="A59" s="43" t="s">
        <v>485</v>
      </c>
      <c r="B59" s="44"/>
      <c r="C59" s="876">
        <f>BILAN!G90/100</f>
        <v>0.2</v>
      </c>
      <c r="D59" s="1033"/>
      <c r="E59" s="1034">
        <v>0</v>
      </c>
      <c r="F59" s="1054"/>
      <c r="G59" s="1034">
        <v>0</v>
      </c>
      <c r="H59" s="1054"/>
      <c r="I59" s="1034">
        <v>0</v>
      </c>
      <c r="J59" s="1057"/>
      <c r="K59" s="1034">
        <v>0</v>
      </c>
      <c r="L59" s="1057"/>
      <c r="M59" s="1034">
        <v>0</v>
      </c>
      <c r="N59" s="1087">
        <f>(BILAN!U90)-(M59+K59+I59+G59+E59)</f>
        <v>0</v>
      </c>
      <c r="AG59" s="17"/>
    </row>
    <row r="60" spans="1:33" s="4" customFormat="1" ht="10.8" thickBot="1">
      <c r="A60" s="63" t="s">
        <v>484</v>
      </c>
      <c r="B60" s="64"/>
      <c r="C60" s="58"/>
      <c r="D60" s="22" t="s">
        <v>37</v>
      </c>
      <c r="G60" s="1090" t="s">
        <v>82</v>
      </c>
      <c r="H60" s="1090" t="s">
        <v>66</v>
      </c>
      <c r="I60" s="1090" t="s">
        <v>67</v>
      </c>
      <c r="J60" s="1090" t="s">
        <v>66</v>
      </c>
      <c r="K60" s="1090" t="s">
        <v>68</v>
      </c>
      <c r="L60" s="1090" t="s">
        <v>66</v>
      </c>
      <c r="N60" s="1088">
        <f>SUM(N52:N59)</f>
        <v>306</v>
      </c>
      <c r="AG60" s="17"/>
    </row>
    <row r="61" spans="1:33" s="4" customFormat="1" ht="10.199999999999999">
      <c r="A61" s="43" t="s">
        <v>529</v>
      </c>
      <c r="B61" s="44"/>
      <c r="C61" s="850">
        <f>(BILAN!G72+BILAN!G74)/200</f>
        <v>0</v>
      </c>
      <c r="D61" s="1058">
        <f>BILAN!S72+BILAN!S74</f>
        <v>2</v>
      </c>
      <c r="G61" s="65">
        <v>0</v>
      </c>
      <c r="H61" s="66">
        <v>0</v>
      </c>
      <c r="I61" s="65">
        <v>1</v>
      </c>
      <c r="J61" s="66">
        <v>0</v>
      </c>
      <c r="K61" s="65">
        <v>0</v>
      </c>
      <c r="L61" s="66">
        <v>0</v>
      </c>
      <c r="AG61" s="17"/>
    </row>
    <row r="62" spans="1:33" s="4" customFormat="1" ht="10.199999999999999">
      <c r="A62" s="43" t="s">
        <v>76</v>
      </c>
      <c r="B62" s="44"/>
      <c r="C62" s="879">
        <f>BILAN!G75/100</f>
        <v>0</v>
      </c>
      <c r="D62" s="1059">
        <f>BILAN!S75</f>
        <v>0</v>
      </c>
      <c r="G62" s="67">
        <v>0</v>
      </c>
      <c r="H62" s="68">
        <v>0</v>
      </c>
      <c r="I62" s="67">
        <v>1</v>
      </c>
      <c r="J62" s="68">
        <v>0</v>
      </c>
      <c r="K62" s="67">
        <v>0</v>
      </c>
      <c r="L62" s="68">
        <v>0</v>
      </c>
      <c r="AG62" s="17"/>
    </row>
    <row r="63" spans="1:33" s="4" customFormat="1" ht="10.199999999999999">
      <c r="A63" s="43" t="s">
        <v>77</v>
      </c>
      <c r="B63" s="44"/>
      <c r="C63" s="879">
        <f>BILAN!G76/100</f>
        <v>0.2</v>
      </c>
      <c r="D63" s="1059">
        <f>BILAN!S76</f>
        <v>14</v>
      </c>
      <c r="G63" s="67">
        <v>0</v>
      </c>
      <c r="H63" s="68">
        <v>0</v>
      </c>
      <c r="I63" s="67">
        <v>1</v>
      </c>
      <c r="J63" s="68">
        <v>0</v>
      </c>
      <c r="K63" s="67">
        <v>0</v>
      </c>
      <c r="L63" s="68">
        <v>0</v>
      </c>
      <c r="AG63" s="17"/>
    </row>
    <row r="64" spans="1:33" s="4" customFormat="1" ht="10.199999999999999">
      <c r="A64" s="877" t="s">
        <v>80</v>
      </c>
      <c r="B64" s="44"/>
      <c r="C64" s="879">
        <f>BILAN!G77/100</f>
        <v>0.2</v>
      </c>
      <c r="D64" s="1059">
        <f>BILAN!S77</f>
        <v>6</v>
      </c>
      <c r="G64" s="67">
        <v>0</v>
      </c>
      <c r="H64" s="68">
        <v>0</v>
      </c>
      <c r="I64" s="67">
        <v>1</v>
      </c>
      <c r="J64" s="68">
        <v>0</v>
      </c>
      <c r="K64" s="67">
        <v>0</v>
      </c>
      <c r="L64" s="68">
        <v>0</v>
      </c>
      <c r="AG64" s="17"/>
    </row>
    <row r="65" spans="1:33" s="4" customFormat="1" ht="10.199999999999999">
      <c r="A65" s="43" t="s">
        <v>78</v>
      </c>
      <c r="B65" s="44"/>
      <c r="C65" s="879">
        <f>BILAN!G78/100</f>
        <v>0.2</v>
      </c>
      <c r="D65" s="1059">
        <f>BILAN!S78</f>
        <v>49</v>
      </c>
      <c r="G65" s="67">
        <v>0</v>
      </c>
      <c r="H65" s="68">
        <v>0</v>
      </c>
      <c r="I65" s="67">
        <v>1</v>
      </c>
      <c r="J65" s="68">
        <v>0</v>
      </c>
      <c r="K65" s="67">
        <v>0</v>
      </c>
      <c r="L65" s="68">
        <v>0</v>
      </c>
      <c r="AG65" s="17"/>
    </row>
    <row r="66" spans="1:33" s="4" customFormat="1" ht="10.199999999999999">
      <c r="A66" s="43" t="s">
        <v>79</v>
      </c>
      <c r="B66" s="44"/>
      <c r="C66" s="1007">
        <f>BILAN!G79/100</f>
        <v>0.2</v>
      </c>
      <c r="D66" s="1059">
        <f>BILAN!S79</f>
        <v>0</v>
      </c>
      <c r="G66" s="67">
        <v>0</v>
      </c>
      <c r="H66" s="68">
        <v>0</v>
      </c>
      <c r="I66" s="67">
        <v>1</v>
      </c>
      <c r="J66" s="68">
        <v>0</v>
      </c>
      <c r="K66" s="67">
        <v>0</v>
      </c>
      <c r="L66" s="68">
        <v>0</v>
      </c>
      <c r="AG66" s="17"/>
    </row>
    <row r="67" spans="1:33" s="4" customFormat="1" ht="10.199999999999999">
      <c r="A67" s="43" t="s">
        <v>558</v>
      </c>
      <c r="B67" s="44"/>
      <c r="C67" s="1007">
        <f>BILAN!G80/100</f>
        <v>0</v>
      </c>
      <c r="D67" s="1059">
        <f>BILAN!S80</f>
        <v>0</v>
      </c>
      <c r="G67" s="67">
        <v>0</v>
      </c>
      <c r="H67" s="68">
        <v>0</v>
      </c>
      <c r="I67" s="67">
        <v>1</v>
      </c>
      <c r="J67" s="68">
        <v>0</v>
      </c>
      <c r="K67" s="67">
        <v>0</v>
      </c>
      <c r="L67" s="68">
        <v>0</v>
      </c>
      <c r="AG67" s="17"/>
    </row>
    <row r="68" spans="1:33" s="4" customFormat="1" ht="10.8" thickBot="1">
      <c r="A68" s="45" t="s">
        <v>559</v>
      </c>
      <c r="B68" s="46"/>
      <c r="C68" s="880">
        <f>BILAN!G81/100</f>
        <v>0.19600000000000001</v>
      </c>
      <c r="D68" s="1060">
        <f>BILAN!S81</f>
        <v>0</v>
      </c>
      <c r="G68" s="67">
        <v>0</v>
      </c>
      <c r="H68" s="68">
        <v>0</v>
      </c>
      <c r="I68" s="67">
        <v>1</v>
      </c>
      <c r="J68" s="68">
        <v>0</v>
      </c>
      <c r="K68" s="67">
        <v>0</v>
      </c>
      <c r="L68" s="68">
        <v>0</v>
      </c>
      <c r="AG68" s="17"/>
    </row>
    <row r="69" spans="1:33" s="4" customFormat="1" ht="10.8" thickBot="1">
      <c r="A69" s="40"/>
      <c r="B69" s="48"/>
      <c r="C69" s="58"/>
      <c r="D69" s="4" t="s">
        <v>37</v>
      </c>
      <c r="G69" s="25" t="s">
        <v>82</v>
      </c>
      <c r="H69" s="25" t="s">
        <v>66</v>
      </c>
      <c r="I69" s="25" t="s">
        <v>67</v>
      </c>
      <c r="J69" s="25" t="s">
        <v>66</v>
      </c>
      <c r="K69" s="25" t="s">
        <v>68</v>
      </c>
      <c r="L69" s="25" t="s">
        <v>66</v>
      </c>
      <c r="AG69" s="17"/>
    </row>
    <row r="70" spans="1:33" s="4" customFormat="1" ht="10.199999999999999">
      <c r="A70" s="43" t="s">
        <v>83</v>
      </c>
      <c r="B70" s="44"/>
      <c r="C70" s="881">
        <f>BILAN!G84/100</f>
        <v>0.2</v>
      </c>
      <c r="D70" s="1058">
        <f>BILAN!S84</f>
        <v>0</v>
      </c>
      <c r="G70" s="65">
        <v>0.5</v>
      </c>
      <c r="H70" s="66">
        <v>0</v>
      </c>
      <c r="I70" s="65">
        <v>0.5</v>
      </c>
      <c r="J70" s="66">
        <v>6</v>
      </c>
      <c r="K70" s="65">
        <v>0</v>
      </c>
      <c r="L70" s="66">
        <v>0</v>
      </c>
      <c r="AG70" s="17"/>
    </row>
    <row r="71" spans="1:33" s="4" customFormat="1" ht="10.199999999999999">
      <c r="A71" s="43" t="s">
        <v>84</v>
      </c>
      <c r="B71" s="44"/>
      <c r="C71" s="879">
        <f>BILAN!G85/100</f>
        <v>0.2</v>
      </c>
      <c r="D71" s="1059">
        <f>BILAN!S85</f>
        <v>0</v>
      </c>
      <c r="E71" s="69"/>
      <c r="G71" s="67">
        <v>0.2</v>
      </c>
      <c r="H71" s="68">
        <v>0</v>
      </c>
      <c r="I71" s="67">
        <v>0.8</v>
      </c>
      <c r="J71" s="68">
        <v>6</v>
      </c>
      <c r="K71" s="67">
        <v>0</v>
      </c>
      <c r="L71" s="68">
        <v>0</v>
      </c>
      <c r="AG71" s="17"/>
    </row>
    <row r="72" spans="1:33" s="4" customFormat="1" ht="10.199999999999999">
      <c r="A72" s="43" t="s">
        <v>423</v>
      </c>
      <c r="B72" s="44"/>
      <c r="C72" s="879">
        <f>BILAN!G86/100</f>
        <v>0.2</v>
      </c>
      <c r="D72" s="1059">
        <f>BILAN!S86</f>
        <v>0</v>
      </c>
      <c r="E72" s="69"/>
      <c r="G72" s="67">
        <v>0.3</v>
      </c>
      <c r="H72" s="68">
        <v>1</v>
      </c>
      <c r="I72" s="67">
        <v>0.7</v>
      </c>
      <c r="J72" s="68">
        <v>6</v>
      </c>
      <c r="K72" s="67">
        <v>0</v>
      </c>
      <c r="L72" s="68">
        <v>0</v>
      </c>
      <c r="AG72" s="17"/>
    </row>
    <row r="73" spans="1:33" s="4" customFormat="1" ht="10.199999999999999">
      <c r="A73" s="43" t="s">
        <v>85</v>
      </c>
      <c r="B73" s="44"/>
      <c r="C73" s="879">
        <f>BILAN!G87/100</f>
        <v>0.2</v>
      </c>
      <c r="D73" s="1059">
        <f>BILAN!S87</f>
        <v>225</v>
      </c>
      <c r="E73" s="69"/>
      <c r="G73" s="67">
        <v>0</v>
      </c>
      <c r="H73" s="68">
        <v>0</v>
      </c>
      <c r="I73" s="67">
        <v>0.9</v>
      </c>
      <c r="J73" s="68">
        <v>6</v>
      </c>
      <c r="K73" s="67">
        <v>0.1</v>
      </c>
      <c r="L73" s="68">
        <v>18</v>
      </c>
      <c r="AG73" s="17"/>
    </row>
    <row r="74" spans="1:33" s="4" customFormat="1" ht="10.199999999999999">
      <c r="A74" s="43" t="s">
        <v>86</v>
      </c>
      <c r="B74" s="44"/>
      <c r="C74" s="879">
        <f>BILAN!G88/100</f>
        <v>0.2</v>
      </c>
      <c r="D74" s="1059">
        <f>BILAN!S88</f>
        <v>0</v>
      </c>
      <c r="E74" s="69"/>
      <c r="G74" s="67">
        <v>0.7</v>
      </c>
      <c r="H74" s="68">
        <v>0</v>
      </c>
      <c r="I74" s="67">
        <v>0.3</v>
      </c>
      <c r="J74" s="68">
        <v>6</v>
      </c>
      <c r="K74" s="67">
        <v>0</v>
      </c>
      <c r="L74" s="68">
        <v>0</v>
      </c>
      <c r="AG74" s="17"/>
    </row>
    <row r="75" spans="1:33" s="4" customFormat="1" ht="10.199999999999999">
      <c r="A75" s="43" t="s">
        <v>87</v>
      </c>
      <c r="B75" s="44"/>
      <c r="C75" s="879">
        <f>BILAN!G89/100</f>
        <v>0.2</v>
      </c>
      <c r="D75" s="1059">
        <f>BILAN!S89</f>
        <v>0</v>
      </c>
      <c r="G75" s="67">
        <v>0</v>
      </c>
      <c r="H75" s="68">
        <v>0</v>
      </c>
      <c r="I75" s="67">
        <v>1</v>
      </c>
      <c r="J75" s="68">
        <v>0</v>
      </c>
      <c r="K75" s="67">
        <v>0</v>
      </c>
      <c r="L75" s="68">
        <v>0</v>
      </c>
      <c r="AG75" s="17"/>
    </row>
    <row r="76" spans="1:33" s="4" customFormat="1" ht="10.199999999999999">
      <c r="A76" s="43" t="s">
        <v>439</v>
      </c>
      <c r="B76" s="44"/>
      <c r="C76" s="879">
        <f>BILAN!G104/100</f>
        <v>0.19600000000000001</v>
      </c>
      <c r="D76" s="1059">
        <f>BILAN!S104</f>
        <v>0</v>
      </c>
      <c r="G76" s="67">
        <v>0</v>
      </c>
      <c r="H76" s="68">
        <v>0</v>
      </c>
      <c r="I76" s="841">
        <v>1</v>
      </c>
      <c r="J76" s="68">
        <v>0</v>
      </c>
      <c r="K76" s="841">
        <v>0</v>
      </c>
      <c r="L76" s="68">
        <v>0</v>
      </c>
      <c r="AG76" s="17"/>
    </row>
    <row r="77" spans="1:33" s="4" customFormat="1" ht="10.8" thickBot="1">
      <c r="A77" s="45" t="s">
        <v>470</v>
      </c>
      <c r="B77" s="46"/>
      <c r="C77" s="882">
        <f>BILAN!G105/100</f>
        <v>0.19600000000000001</v>
      </c>
      <c r="D77" s="1060">
        <f>BILAN!S105</f>
        <v>0</v>
      </c>
      <c r="G77" s="70">
        <v>0</v>
      </c>
      <c r="H77" s="71">
        <v>0</v>
      </c>
      <c r="I77" s="836">
        <v>1</v>
      </c>
      <c r="J77" s="71">
        <v>0</v>
      </c>
      <c r="K77" s="836">
        <v>0</v>
      </c>
      <c r="L77" s="71">
        <v>0</v>
      </c>
      <c r="AG77" s="17"/>
    </row>
    <row r="78" spans="1:33" s="4" customFormat="1" ht="10.199999999999999">
      <c r="A78" s="72"/>
      <c r="B78" s="41"/>
      <c r="C78" s="58"/>
      <c r="AG78" s="17"/>
    </row>
    <row r="79" spans="1:33" s="4" customFormat="1" ht="10.199999999999999">
      <c r="A79" s="43" t="s">
        <v>89</v>
      </c>
      <c r="B79" s="44"/>
      <c r="C79" s="53">
        <v>0.19600000000000001</v>
      </c>
      <c r="AG79" s="17"/>
    </row>
    <row r="80" spans="1:33" s="4" customFormat="1" ht="10.8" thickBot="1">
      <c r="A80" s="45"/>
      <c r="B80" s="46"/>
      <c r="C80" s="73"/>
      <c r="G80" s="31"/>
      <c r="AG80" s="17"/>
    </row>
    <row r="81" spans="1:33" s="4" customFormat="1" ht="10.199999999999999">
      <c r="A81" s="31"/>
      <c r="C81" s="58"/>
      <c r="AG81" s="17"/>
    </row>
    <row r="82" spans="1:33" s="4" customFormat="1" ht="10.199999999999999">
      <c r="A82" s="31"/>
      <c r="AG82" s="17"/>
    </row>
    <row r="83" spans="1:33" s="4" customFormat="1" ht="10.199999999999999">
      <c r="A83" s="6" t="s">
        <v>191</v>
      </c>
      <c r="C83" s="73"/>
      <c r="AG83" s="17"/>
    </row>
    <row r="84" spans="1:33" s="4" customFormat="1" ht="10.199999999999999">
      <c r="AG84" s="17"/>
    </row>
    <row r="85" spans="1:33" s="4" customFormat="1" ht="10.199999999999999">
      <c r="A85" s="31" t="str">
        <f>IF(CODE_PARAM &lt;&gt; "O","Les taux standarts n'ont pas été utilisés.","")</f>
        <v/>
      </c>
      <c r="AG85" s="17"/>
    </row>
    <row r="86" spans="1:33" s="4" customFormat="1" ht="10.199999999999999">
      <c r="AG86" s="17"/>
    </row>
    <row r="87" spans="1:33">
      <c r="A87" s="74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4"/>
    </row>
    <row r="88" spans="1:33">
      <c r="A88" s="74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4"/>
    </row>
    <row r="89" spans="1:33">
      <c r="A89" s="74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4"/>
    </row>
    <row r="90" spans="1:33">
      <c r="A90" s="74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4"/>
    </row>
    <row r="91" spans="1:33">
      <c r="A91" s="74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4"/>
    </row>
    <row r="92" spans="1:33">
      <c r="A92" s="74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4"/>
    </row>
    <row r="93" spans="1:33">
      <c r="A93" s="3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</sheetData>
  <sheetProtection algorithmName="SHA-512" hashValue="bho+iNLqDKvzo4+pDU9FtF7gWDyMofDP6tO9ruzzl+cieaa8jmRzljDw+CqpFAdnxcU4fSE45cGuMWeHKr89oQ==" saltValue="/sOCW83UBTmIJ+r+K+eV8A==" spinCount="100000" sheet="1" objects="1" scenarios="1"/>
  <customSheetViews>
    <customSheetView guid="{185B1D6B-988C-4819-B119-9DBF81846F69}" colorId="8" showGridLines="0" fitToPage="1" hiddenColumns="1" showRuler="0">
      <selection activeCell="C1" sqref="C1"/>
      <pageMargins left="0.78740157480314965" right="0.78740157480314965" top="0.98425196850393704" bottom="0.98425196850393704" header="0.4921259845" footer="0.4921259845"/>
      <printOptions horizontalCentered="1" verticalCentered="1"/>
      <pageSetup paperSize="9" scale="69" orientation="portrait" blackAndWhite="1" r:id="rId1"/>
      <headerFooter alignWithMargins="0">
        <oddHeader>&amp;C&amp;A&amp;Rédité le &amp;D à &amp;T</oddHeader>
        <oddFooter>Page &amp;P</oddFooter>
      </headerFooter>
    </customSheetView>
  </customSheetViews>
  <mergeCells count="2">
    <mergeCell ref="P29:Q29"/>
    <mergeCell ref="P15:Q15"/>
  </mergeCells>
  <phoneticPr fontId="16" type="noConversion"/>
  <conditionalFormatting sqref="D70:D77 D61:D68 Z22:AA22 R18 T18 V18 X18 X20 V20 T20 R20 R22 T22 V22 X22 X24 V24 T24 R24 R28 R26 T26 V26 X26 X28 V28 T28 C4 C6:D15 D20:M23 D45:M49 D26:M34 D37:M42 R4:AA4 R6:AA6 R8:AA8 R10:AA10 R12:AA12 R14:AA14 D52:M59 Z28:AA28 Z18:AA18 Z24:AA24 Z26:AA26 Z20:AA20">
    <cfRule type="cellIs" dxfId="0" priority="1" stopIfTrue="1" operator="between">
      <formula>" "</formula>
      <formula>"          "</formula>
    </cfRule>
  </conditionalFormatting>
  <dataValidations count="2">
    <dataValidation type="date" allowBlank="1" showInputMessage="1" showErrorMessage="1" sqref="V18 L26:L34 D26:D34 F26:F34 H26:H34 J26:J34 D52:D59 L52:L59 J52:J59 H52:H59 J37:J42 H37:H42 F37:F42 D37:D42 F52:F59 R35:R46 Z35:Z46 X35:X46 V35:V46 T35:T46 M1 S14:AA14 S12:AA12 S10:AA10 S8:AA8 S6:AA6 S4:AA4 L37:L42 L45:L49 J45:J49 H45:H49 F45:F49 D45:D49 L20:L21 J20:J21 H20:H21 F20:F21 D20:D21 C6:C15 X18 X20 X22 X24 X26 X28 V28 V26 V24 V22 V20" xr:uid="{00000000-0002-0000-0300-000000000000}">
      <formula1>34700</formula1>
      <formula2>73415</formula2>
    </dataValidation>
    <dataValidation type="date" allowBlank="1" showInputMessage="1" showErrorMessage="1" error="La date de début est incorrecte" sqref="C4" xr:uid="{00000000-0002-0000-0300-000001000000}">
      <formula1>32874</formula1>
      <formula2>73051</formula2>
    </dataValidation>
  </dataValidations>
  <printOptions horizontalCentered="1" verticalCentered="1" gridLinesSet="0"/>
  <pageMargins left="0.78740157480314965" right="0.78740157480314965" top="0.98425196850393704" bottom="0.98425196850393704" header="0.4921259845" footer="0.4921259845"/>
  <pageSetup paperSize="9" scale="65" orientation="portrait" blackAndWhite="1" r:id="rId2"/>
  <headerFooter alignWithMargins="0">
    <oddHeader>&amp;C&amp;A&amp;Rédité le &amp;D à &amp;T</oddHeader>
    <oddFooter>Page &amp;P</oddFooter>
  </headerFooter>
  <drawing r:id="rId3"/>
  <legacyDrawing r:id="rId4"/>
  <controls>
    <mc:AlternateContent xmlns:mc="http://schemas.openxmlformats.org/markup-compatibility/2006">
      <mc:Choice Requires="x14">
        <control shapeId="2076" r:id="rId5" name="btn_Edition10">
          <controlPr locked="0" defaultSize="0" autoLine="0" r:id="rId6">
            <anchor moveWithCells="1">
              <from>
                <xdr:col>0</xdr:col>
                <xdr:colOff>22860</xdr:colOff>
                <xdr:row>14</xdr:row>
                <xdr:rowOff>83820</xdr:rowOff>
              </from>
              <to>
                <xdr:col>1</xdr:col>
                <xdr:colOff>259080</xdr:colOff>
                <xdr:row>17</xdr:row>
                <xdr:rowOff>22860</xdr:rowOff>
              </to>
            </anchor>
          </controlPr>
        </control>
      </mc:Choice>
      <mc:Fallback>
        <control shapeId="2076" r:id="rId5" name="btn_Edition10"/>
      </mc:Fallback>
    </mc:AlternateContent>
    <mc:AlternateContent xmlns:mc="http://schemas.openxmlformats.org/markup-compatibility/2006">
      <mc:Choice Requires="x14">
        <control shapeId="2075" r:id="rId7" name="btn_Edition5">
          <controlPr locked="0" defaultSize="0" autoLine="0" r:id="rId8">
            <anchor moveWithCells="1">
              <from>
                <xdr:col>0</xdr:col>
                <xdr:colOff>22860</xdr:colOff>
                <xdr:row>12</xdr:row>
                <xdr:rowOff>0</xdr:rowOff>
              </from>
              <to>
                <xdr:col>1</xdr:col>
                <xdr:colOff>259080</xdr:colOff>
                <xdr:row>14</xdr:row>
                <xdr:rowOff>114300</xdr:rowOff>
              </to>
            </anchor>
          </controlPr>
        </control>
      </mc:Choice>
      <mc:Fallback>
        <control shapeId="2075" r:id="rId7" name="btn_Edition5"/>
      </mc:Fallback>
    </mc:AlternateContent>
    <mc:AlternateContent xmlns:mc="http://schemas.openxmlformats.org/markup-compatibility/2006">
      <mc:Choice Requires="x14">
        <control shapeId="2074" r:id="rId9" name="btn_Edition1">
          <controlPr locked="0" defaultSize="0" autoLine="0" r:id="rId10">
            <anchor moveWithCells="1">
              <from>
                <xdr:col>0</xdr:col>
                <xdr:colOff>22860</xdr:colOff>
                <xdr:row>9</xdr:row>
                <xdr:rowOff>99060</xdr:rowOff>
              </from>
              <to>
                <xdr:col>1</xdr:col>
                <xdr:colOff>259080</xdr:colOff>
                <xdr:row>12</xdr:row>
                <xdr:rowOff>15240</xdr:rowOff>
              </to>
            </anchor>
          </controlPr>
        </control>
      </mc:Choice>
      <mc:Fallback>
        <control shapeId="2074" r:id="rId9" name="btn_Edition1"/>
      </mc:Fallback>
    </mc:AlternateContent>
    <mc:AlternateContent xmlns:mc="http://schemas.openxmlformats.org/markup-compatibility/2006">
      <mc:Choice Requires="x14">
        <control shapeId="2073" r:id="rId11" name="btn_Calcul">
          <controlPr defaultSize="0" autoLine="0" r:id="rId12">
            <anchor moveWithCells="1">
              <from>
                <xdr:col>0</xdr:col>
                <xdr:colOff>7620</xdr:colOff>
                <xdr:row>7</xdr:row>
                <xdr:rowOff>76200</xdr:rowOff>
              </from>
              <to>
                <xdr:col>1</xdr:col>
                <xdr:colOff>243840</xdr:colOff>
                <xdr:row>9</xdr:row>
                <xdr:rowOff>91440</xdr:rowOff>
              </to>
            </anchor>
          </controlPr>
        </control>
      </mc:Choice>
      <mc:Fallback>
        <control shapeId="2073" r:id="rId11" name="btn_Calcul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68FFFF48BA334FA513C4CB25631C50" ma:contentTypeVersion="18" ma:contentTypeDescription="Crée un document." ma:contentTypeScope="" ma:versionID="62bbc0f92edb04310c0dab3ad26bcd27">
  <xsd:schema xmlns:xsd="http://www.w3.org/2001/XMLSchema" xmlns:xs="http://www.w3.org/2001/XMLSchema" xmlns:p="http://schemas.microsoft.com/office/2006/metadata/properties" xmlns:ns2="4d926aaf-7214-41e2-95be-c78b302953e4" xmlns:ns3="a31e0426-11c7-4e4b-bc1e-d68614a21927" targetNamespace="http://schemas.microsoft.com/office/2006/metadata/properties" ma:root="true" ma:fieldsID="082ee8011ac5d987b1d2aaa4aad6b03c" ns2:_="" ns3:_="">
    <xsd:import namespace="4d926aaf-7214-41e2-95be-c78b302953e4"/>
    <xsd:import namespace="a31e0426-11c7-4e4b-bc1e-d68614a219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26aaf-7214-41e2-95be-c78b302953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66642942-2960-4e55-a7ee-9598e47574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e0426-11c7-4e4b-bc1e-d68614a2192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3a84582-3829-4142-90d3-e39748d1c162}" ma:internalName="TaxCatchAll" ma:showField="CatchAllData" ma:web="a31e0426-11c7-4e4b-bc1e-d68614a219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926aaf-7214-41e2-95be-c78b302953e4">
      <Terms xmlns="http://schemas.microsoft.com/office/infopath/2007/PartnerControls"/>
    </lcf76f155ced4ddcb4097134ff3c332f>
    <TaxCatchAll xmlns="a31e0426-11c7-4e4b-bc1e-d68614a21927" xsi:nil="true"/>
  </documentManagement>
</p:properties>
</file>

<file path=customXml/itemProps1.xml><?xml version="1.0" encoding="utf-8"?>
<ds:datastoreItem xmlns:ds="http://schemas.openxmlformats.org/officeDocument/2006/customXml" ds:itemID="{53697842-DA2D-4899-BE91-6D6527E82FB3}"/>
</file>

<file path=customXml/itemProps2.xml><?xml version="1.0" encoding="utf-8"?>
<ds:datastoreItem xmlns:ds="http://schemas.openxmlformats.org/officeDocument/2006/customXml" ds:itemID="{36FE10D0-059F-482E-9B5C-B82CD881708F}"/>
</file>

<file path=customXml/itemProps3.xml><?xml version="1.0" encoding="utf-8"?>
<ds:datastoreItem xmlns:ds="http://schemas.openxmlformats.org/officeDocument/2006/customXml" ds:itemID="{43058E0D-58CE-4814-9174-539349002B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502</vt:i4>
      </vt:variant>
    </vt:vector>
  </HeadingPairs>
  <TitlesOfParts>
    <vt:vector size="506" baseType="lpstr">
      <vt:lpstr>CALCU</vt:lpstr>
      <vt:lpstr>STAND</vt:lpstr>
      <vt:lpstr>BILAN</vt:lpstr>
      <vt:lpstr>TRESO</vt:lpstr>
      <vt:lpstr>BILAN!_MT1</vt:lpstr>
      <vt:lpstr>_mt1</vt:lpstr>
      <vt:lpstr>BILAN!_MT2</vt:lpstr>
      <vt:lpstr>_MT2</vt:lpstr>
      <vt:lpstr>_MT3</vt:lpstr>
      <vt:lpstr>_MT4</vt:lpstr>
      <vt:lpstr>_REF1</vt:lpstr>
      <vt:lpstr>_REP1</vt:lpstr>
      <vt:lpstr>_REP2</vt:lpstr>
      <vt:lpstr>_REP3</vt:lpstr>
      <vt:lpstr>_REP4</vt:lpstr>
      <vt:lpstr>_REP5</vt:lpstr>
      <vt:lpstr>_REP6</vt:lpstr>
      <vt:lpstr>ACTIVITE</vt:lpstr>
      <vt:lpstr>ACTUALISATION</vt:lpstr>
      <vt:lpstr>ACTUALISATION_HT</vt:lpstr>
      <vt:lpstr>AP</vt:lpstr>
      <vt:lpstr>CALCU!AP_1erVERS</vt:lpstr>
      <vt:lpstr>AP_1erVERS</vt:lpstr>
      <vt:lpstr>AP_1erVERS_CONV</vt:lpstr>
      <vt:lpstr>CALCU!AP_MT</vt:lpstr>
      <vt:lpstr>AP_MT</vt:lpstr>
      <vt:lpstr>CALCU!AP_RBT</vt:lpstr>
      <vt:lpstr>AP_RBT</vt:lpstr>
      <vt:lpstr>AP_RBT_CALC</vt:lpstr>
      <vt:lpstr>CALCU!AP_RBT_CONS</vt:lpstr>
      <vt:lpstr>AP_RBT_CONS</vt:lpstr>
      <vt:lpstr>APP_PROM</vt:lpstr>
      <vt:lpstr>APPORT_COMPL</vt:lpstr>
      <vt:lpstr>APPORT_PROMO</vt:lpstr>
      <vt:lpstr>Apport_promoteur</vt:lpstr>
      <vt:lpstr>BASE</vt:lpstr>
      <vt:lpstr>Base_de_donnees</vt:lpstr>
      <vt:lpstr>BOUTON</vt:lpstr>
      <vt:lpstr>BUD_DEP</vt:lpstr>
      <vt:lpstr>BUD_HT</vt:lpstr>
      <vt:lpstr>BUD_REC</vt:lpstr>
      <vt:lpstr>BUDGETS_TTC</vt:lpstr>
      <vt:lpstr>CALCU!CAD_DAT_1</vt:lpstr>
      <vt:lpstr>CAD_DAT_1</vt:lpstr>
      <vt:lpstr>CALCU!CAD_DAT_10</vt:lpstr>
      <vt:lpstr>CAD_DAT_10</vt:lpstr>
      <vt:lpstr>CALCU!CAD_DAT_2</vt:lpstr>
      <vt:lpstr>CAD_DAT_2</vt:lpstr>
      <vt:lpstr>CALCU!CAD_DAT_3</vt:lpstr>
      <vt:lpstr>CAD_DAT_3</vt:lpstr>
      <vt:lpstr>CALCU!CAD_DAT_4</vt:lpstr>
      <vt:lpstr>CAD_DAT_4</vt:lpstr>
      <vt:lpstr>CALCU!CAD_DAT_5</vt:lpstr>
      <vt:lpstr>CAD_DAT_5</vt:lpstr>
      <vt:lpstr>CALCU!CAD_DAT_6</vt:lpstr>
      <vt:lpstr>CAD_DAT_6</vt:lpstr>
      <vt:lpstr>CALCU!CAD_DAT_7</vt:lpstr>
      <vt:lpstr>CAD_DAT_7</vt:lpstr>
      <vt:lpstr>CALCU!CAD_DAT_8</vt:lpstr>
      <vt:lpstr>CAD_DAT_8</vt:lpstr>
      <vt:lpstr>CALCU!CAD_DAT_9</vt:lpstr>
      <vt:lpstr>CAD_DAT_9</vt:lpstr>
      <vt:lpstr>CAD_DAT_CONV_1</vt:lpstr>
      <vt:lpstr>CAD_DAT_CONV_10</vt:lpstr>
      <vt:lpstr>CAD_DAT_CONV_2</vt:lpstr>
      <vt:lpstr>CAD_DAT_CONV_3</vt:lpstr>
      <vt:lpstr>CAD_DAT_CONV_4</vt:lpstr>
      <vt:lpstr>CAD_DAT_CONV_5</vt:lpstr>
      <vt:lpstr>CAD_DAT_CONV_6</vt:lpstr>
      <vt:lpstr>CAD_DAT_CONV_7</vt:lpstr>
      <vt:lpstr>CAD_DAT_CONV_8</vt:lpstr>
      <vt:lpstr>CAD_DAT_CONV_9</vt:lpstr>
      <vt:lpstr>CAD_EDIT</vt:lpstr>
      <vt:lpstr>CALCU!CAD_NB_1</vt:lpstr>
      <vt:lpstr>CAD_NB_1</vt:lpstr>
      <vt:lpstr>CALCU!CAD_NB_10</vt:lpstr>
      <vt:lpstr>CAD_NB_10</vt:lpstr>
      <vt:lpstr>CALCU!CAD_NB_2</vt:lpstr>
      <vt:lpstr>CAD_NB_2</vt:lpstr>
      <vt:lpstr>CALCU!CAD_NB_3</vt:lpstr>
      <vt:lpstr>CAD_NB_3</vt:lpstr>
      <vt:lpstr>CALCU!CAD_NB_4</vt:lpstr>
      <vt:lpstr>CAD_NB_4</vt:lpstr>
      <vt:lpstr>CALCU!CAD_NB_5</vt:lpstr>
      <vt:lpstr>CAD_NB_5</vt:lpstr>
      <vt:lpstr>CALCU!CAD_NB_6</vt:lpstr>
      <vt:lpstr>CAD_NB_6</vt:lpstr>
      <vt:lpstr>CALCU!CAD_NB_7</vt:lpstr>
      <vt:lpstr>CAD_NB_7</vt:lpstr>
      <vt:lpstr>CALCU!CAD_NB_8</vt:lpstr>
      <vt:lpstr>CAD_NB_8</vt:lpstr>
      <vt:lpstr>CALCU!CAD_NB_9</vt:lpstr>
      <vt:lpstr>CAD_NB_9</vt:lpstr>
      <vt:lpstr>CAF</vt:lpstr>
      <vt:lpstr>CALCU!CHARG_FONC</vt:lpstr>
      <vt:lpstr>CHARG_FONC</vt:lpstr>
      <vt:lpstr>CALCU!CHIF_AFF</vt:lpstr>
      <vt:lpstr>CHIF_AFF</vt:lpstr>
      <vt:lpstr>CODE_PARAM</vt:lpstr>
      <vt:lpstr>COEF_SHON_AUT</vt:lpstr>
      <vt:lpstr>COEF_SHON_LGT</vt:lpstr>
      <vt:lpstr>COMM</vt:lpstr>
      <vt:lpstr>COMMERC</vt:lpstr>
      <vt:lpstr>CONDHT</vt:lpstr>
      <vt:lpstr>CONGHT</vt:lpstr>
      <vt:lpstr>CONLHT</vt:lpstr>
      <vt:lpstr>CONSHT</vt:lpstr>
      <vt:lpstr>CONSTRUCTION</vt:lpstr>
      <vt:lpstr>CONTR_DATE_DEB</vt:lpstr>
      <vt:lpstr>CONTR_DEP</vt:lpstr>
      <vt:lpstr>CONTR_REC</vt:lpstr>
      <vt:lpstr>Criteres</vt:lpstr>
      <vt:lpstr>critl13</vt:lpstr>
      <vt:lpstr>critl15</vt:lpstr>
      <vt:lpstr>CALCU!DATE_CREA</vt:lpstr>
      <vt:lpstr>DATE_CREA</vt:lpstr>
      <vt:lpstr>DATE_DEB_EDIT</vt:lpstr>
      <vt:lpstr>CALCU!DATE_DEBUT</vt:lpstr>
      <vt:lpstr>DATE_DEBUT</vt:lpstr>
      <vt:lpstr>Date_Dernier_Encai</vt:lpstr>
      <vt:lpstr>DATES</vt:lpstr>
      <vt:lpstr>DATES_1er</vt:lpstr>
      <vt:lpstr>datmaint</vt:lpstr>
      <vt:lpstr>DEB_PLAN_DATE</vt:lpstr>
      <vt:lpstr>DEB_PLAN_VTE</vt:lpstr>
      <vt:lpstr>DEBCEL</vt:lpstr>
      <vt:lpstr>DEC_APF</vt:lpstr>
      <vt:lpstr>DEC_DATE</vt:lpstr>
      <vt:lpstr>DEC_FF</vt:lpstr>
      <vt:lpstr>DEC_FRN</vt:lpstr>
      <vt:lpstr>DEC_HIN</vt:lpstr>
      <vt:lpstr>DEC_SIG</vt:lpstr>
      <vt:lpstr>DEC_TVA</vt:lpstr>
      <vt:lpstr>DECALAGES</vt:lpstr>
      <vt:lpstr>CALCU!DECOUV_MAX</vt:lpstr>
      <vt:lpstr>DECOUV_MAX</vt:lpstr>
      <vt:lpstr>DEMOHT</vt:lpstr>
      <vt:lpstr>DEP</vt:lpstr>
      <vt:lpstr>DEP_HT</vt:lpstr>
      <vt:lpstr>DEP_TVA</vt:lpstr>
      <vt:lpstr>DIV_DR_COM</vt:lpstr>
      <vt:lpstr>DIVIDENDES</vt:lpstr>
      <vt:lpstr>ENCAISSEMENTS</vt:lpstr>
      <vt:lpstr>endimp</vt:lpstr>
      <vt:lpstr>CALCU!FF_BUD</vt:lpstr>
      <vt:lpstr>FF_BUD</vt:lpstr>
      <vt:lpstr>CALCU!FF_CAL</vt:lpstr>
      <vt:lpstr>FF_CAL</vt:lpstr>
      <vt:lpstr>FF_CAL_TAB</vt:lpstr>
      <vt:lpstr>FF_HT</vt:lpstr>
      <vt:lpstr>CALCU!FF_INI_BUD</vt:lpstr>
      <vt:lpstr>FF_INI_BUD</vt:lpstr>
      <vt:lpstr>FF_INI_HT</vt:lpstr>
      <vt:lpstr>FF_INI_TVA</vt:lpstr>
      <vt:lpstr>FF_TVA</vt:lpstr>
      <vt:lpstr>FNOTHT</vt:lpstr>
      <vt:lpstr>FR_FIN</vt:lpstr>
      <vt:lpstr>CALCU!G.F.A</vt:lpstr>
      <vt:lpstr>G.F.A</vt:lpstr>
      <vt:lpstr>G.F.A_HT</vt:lpstr>
      <vt:lpstr>G.F.A_TVA</vt:lpstr>
      <vt:lpstr>GRAPH_COPIE</vt:lpstr>
      <vt:lpstr>CALCU!HON_EXT_AUT</vt:lpstr>
      <vt:lpstr>HON_EXT_AUT</vt:lpstr>
      <vt:lpstr>CALCU!HON_EXT_MAN</vt:lpstr>
      <vt:lpstr>HON_EXT_MAN</vt:lpstr>
      <vt:lpstr>CALCU!HON_INT</vt:lpstr>
      <vt:lpstr>HON_INT</vt:lpstr>
      <vt:lpstr>I2P_1</vt:lpstr>
      <vt:lpstr>I2P_1B</vt:lpstr>
      <vt:lpstr>I2P_2</vt:lpstr>
      <vt:lpstr>I2P_3</vt:lpstr>
      <vt:lpstr>I2P_4</vt:lpstr>
      <vt:lpstr>imp1p</vt:lpstr>
      <vt:lpstr>IMP4P</vt:lpstr>
      <vt:lpstr>IMPHT</vt:lpstr>
      <vt:lpstr>CALCU!Impression_des_titres</vt:lpstr>
      <vt:lpstr>INDIHT</vt:lpstr>
      <vt:lpstr>LcritBASe</vt:lpstr>
      <vt:lpstr>LIB_BLANC</vt:lpstr>
      <vt:lpstr>CALCU!MARGE</vt:lpstr>
      <vt:lpstr>MARGE</vt:lpstr>
      <vt:lpstr>MARGTOT_HT</vt:lpstr>
      <vt:lpstr>MOIS_DIV</vt:lpstr>
      <vt:lpstr>BILAN!Monnaie</vt:lpstr>
      <vt:lpstr>BILAN!Monnaie_indice</vt:lpstr>
      <vt:lpstr>NB_LOGT</vt:lpstr>
      <vt:lpstr>NB_LOGT_CALCUL</vt:lpstr>
      <vt:lpstr>CALCU!NB_LOTS</vt:lpstr>
      <vt:lpstr>NB_LOTS</vt:lpstr>
      <vt:lpstr>NBR_GARA</vt:lpstr>
      <vt:lpstr>CALCU!OBSERVATIONS</vt:lpstr>
      <vt:lpstr>OBSERVATIONS</vt:lpstr>
      <vt:lpstr>P441HT</vt:lpstr>
      <vt:lpstr>STAND!PARAM_1</vt:lpstr>
      <vt:lpstr>PARAM_1</vt:lpstr>
      <vt:lpstr>STAND!PARAM_2</vt:lpstr>
      <vt:lpstr>PARAM_2</vt:lpstr>
      <vt:lpstr>PARAM_EDIT</vt:lpstr>
      <vt:lpstr>PERSHT</vt:lpstr>
      <vt:lpstr>PHASE</vt:lpstr>
      <vt:lpstr>PL1_2HT</vt:lpstr>
      <vt:lpstr>PL2_2HT</vt:lpstr>
      <vt:lpstr>PL3_1HT</vt:lpstr>
      <vt:lpstr>PL3_2HT</vt:lpstr>
      <vt:lpstr>PL4_1HT</vt:lpstr>
      <vt:lpstr>PLAN_DATE</vt:lpstr>
      <vt:lpstr>POURC_ACTUAL</vt:lpstr>
      <vt:lpstr>CALCU!POURC_APF</vt:lpstr>
      <vt:lpstr>POURC_APF</vt:lpstr>
      <vt:lpstr>CALCU!POURC_FPF</vt:lpstr>
      <vt:lpstr>POURC_FPF</vt:lpstr>
      <vt:lpstr>CALCU!POURC_MARGE</vt:lpstr>
      <vt:lpstr>POURC_MARGE</vt:lpstr>
      <vt:lpstr>POURC_TRV</vt:lpstr>
      <vt:lpstr>POURC_TRV_L</vt:lpstr>
      <vt:lpstr>POURC_TRV_P</vt:lpstr>
      <vt:lpstr>POURMARG_HT</vt:lpstr>
      <vt:lpstr>PR_FIN</vt:lpstr>
      <vt:lpstr>PR_HT_HORS_GFA</vt:lpstr>
      <vt:lpstr>PR_REV.TOT_HT</vt:lpstr>
      <vt:lpstr>PR_REV.TOT_TTC</vt:lpstr>
      <vt:lpstr>PR_TTC_HORS_GFA</vt:lpstr>
      <vt:lpstr>PRIX_REVIENT</vt:lpstr>
      <vt:lpstr>CALCU!PROG_IMMOB</vt:lpstr>
      <vt:lpstr>PROG_IMMOB</vt:lpstr>
      <vt:lpstr>PV_ANN_HT</vt:lpstr>
      <vt:lpstr>PV_AUTR</vt:lpstr>
      <vt:lpstr>PV_AUTR_HT</vt:lpstr>
      <vt:lpstr>PV_AUTR_NONSOUMIS</vt:lpstr>
      <vt:lpstr>PV_GARAGE_HT</vt:lpstr>
      <vt:lpstr>PV_LOGT</vt:lpstr>
      <vt:lpstr>PV_LOGT_HT</vt:lpstr>
      <vt:lpstr>PV_PARK</vt:lpstr>
      <vt:lpstr>PV_TOT_HT</vt:lpstr>
      <vt:lpstr>PV_TTC2</vt:lpstr>
      <vt:lpstr>PVTOT_TTC</vt:lpstr>
      <vt:lpstr>PVTOT_TTC_HC</vt:lpstr>
      <vt:lpstr>REATHT</vt:lpstr>
      <vt:lpstr>REC</vt:lpstr>
      <vt:lpstr>CALCU!REDEVANCES</vt:lpstr>
      <vt:lpstr>REDEVANCES</vt:lpstr>
      <vt:lpstr>REF</vt:lpstr>
      <vt:lpstr>RELTHT</vt:lpstr>
      <vt:lpstr>CALCU!RENTAB</vt:lpstr>
      <vt:lpstr>RENTAB</vt:lpstr>
      <vt:lpstr>RENTAB2</vt:lpstr>
      <vt:lpstr>RENTAB2_S</vt:lpstr>
      <vt:lpstr>RENTAB3</vt:lpstr>
      <vt:lpstr>RENTAB3_S</vt:lpstr>
      <vt:lpstr>RENTABILITE</vt:lpstr>
      <vt:lpstr>RENTABILITE2</vt:lpstr>
      <vt:lpstr>REP</vt:lpstr>
      <vt:lpstr>RESERVATIONS</vt:lpstr>
      <vt:lpstr>RESTHT</vt:lpstr>
      <vt:lpstr>RYTHME_VENTE</vt:lpstr>
      <vt:lpstr>S_APPORT_COMPL</vt:lpstr>
      <vt:lpstr>SHON_GLOB</vt:lpstr>
      <vt:lpstr>SHON_LOGT</vt:lpstr>
      <vt:lpstr>Sigle_Monnaie</vt:lpstr>
      <vt:lpstr>SONDHT</vt:lpstr>
      <vt:lpstr>SUPL</vt:lpstr>
      <vt:lpstr>SUPL13</vt:lpstr>
      <vt:lpstr>SUPL15</vt:lpstr>
      <vt:lpstr>SURF_HABIT</vt:lpstr>
      <vt:lpstr>SURF_TERR</vt:lpstr>
      <vt:lpstr>SURF_UTIL</vt:lpstr>
      <vt:lpstr>T_HONEXT_HT</vt:lpstr>
      <vt:lpstr>T_HONINT_HT</vt:lpstr>
      <vt:lpstr>T1_1erSIGN</vt:lpstr>
      <vt:lpstr>T1_AO</vt:lpstr>
      <vt:lpstr>T1_CA</vt:lpstr>
      <vt:lpstr>T1_CAF</vt:lpstr>
      <vt:lpstr>T1_CAF_LOTS</vt:lpstr>
      <vt:lpstr>T1_CAF_POURC</vt:lpstr>
      <vt:lpstr>T1_CAF_TX_TVA</vt:lpstr>
      <vt:lpstr>CALCU!T1_CODE_ENC</vt:lpstr>
      <vt:lpstr>T1_CODE_ENC</vt:lpstr>
      <vt:lpstr>T1_CONST_TABLE</vt:lpstr>
      <vt:lpstr>T1_CONST_TTC</vt:lpstr>
      <vt:lpstr>T1_DATES</vt:lpstr>
      <vt:lpstr>T1_DEB_PLAN</vt:lpstr>
      <vt:lpstr>T1_DEB_PLAN_CONV</vt:lpstr>
      <vt:lpstr>T1_DT</vt:lpstr>
      <vt:lpstr>T1_DUR</vt:lpstr>
      <vt:lpstr>CALCU!T1_ENC_MANUEL</vt:lpstr>
      <vt:lpstr>T1_ENC_MANUEL</vt:lpstr>
      <vt:lpstr>T1_FO</vt:lpstr>
      <vt:lpstr>T1_HC_LOTS</vt:lpstr>
      <vt:lpstr>T1_HC_TAUX</vt:lpstr>
      <vt:lpstr>T1_LI</vt:lpstr>
      <vt:lpstr>T1_MARGE_LOTS</vt:lpstr>
      <vt:lpstr>T1_NBLOTS</vt:lpstr>
      <vt:lpstr>T1_NOTIF</vt:lpstr>
      <vt:lpstr>CALCU!T1_PLAN_CONS</vt:lpstr>
      <vt:lpstr>T1_PLAN_CONS</vt:lpstr>
      <vt:lpstr>T1_RESERVATIONS</vt:lpstr>
      <vt:lpstr>T1_SIGNATURES</vt:lpstr>
      <vt:lpstr>T1_TAUX_APF</vt:lpstr>
      <vt:lpstr>T1_TVACOL_LOTS</vt:lpstr>
      <vt:lpstr>T1_TVADED_LOTS</vt:lpstr>
      <vt:lpstr>T2_1erSIGN</vt:lpstr>
      <vt:lpstr>T2_AO</vt:lpstr>
      <vt:lpstr>T2_CA</vt:lpstr>
      <vt:lpstr>T2_CAF</vt:lpstr>
      <vt:lpstr>T2_CAF_LOTS</vt:lpstr>
      <vt:lpstr>T2_CAF_POURC</vt:lpstr>
      <vt:lpstr>T2_CAF_TX_TVA</vt:lpstr>
      <vt:lpstr>CALCU!T2_CODE_ENC</vt:lpstr>
      <vt:lpstr>T2_CODE_ENC</vt:lpstr>
      <vt:lpstr>T2_CONST_TABLE</vt:lpstr>
      <vt:lpstr>T2_CONST_TTC</vt:lpstr>
      <vt:lpstr>T2_DATES</vt:lpstr>
      <vt:lpstr>T2_DEB_PLAN</vt:lpstr>
      <vt:lpstr>T2_DEB_PLAN_CONV</vt:lpstr>
      <vt:lpstr>T2_DT</vt:lpstr>
      <vt:lpstr>T2_DUR</vt:lpstr>
      <vt:lpstr>CALCU!T2_ENC_MANUEL</vt:lpstr>
      <vt:lpstr>T2_ENC_MANUEL</vt:lpstr>
      <vt:lpstr>T2_FO</vt:lpstr>
      <vt:lpstr>T2_HC_LOTS</vt:lpstr>
      <vt:lpstr>T2_HC_TAUX</vt:lpstr>
      <vt:lpstr>T2_LI</vt:lpstr>
      <vt:lpstr>T2_MARGE_LOTS</vt:lpstr>
      <vt:lpstr>T2_NBLOTS</vt:lpstr>
      <vt:lpstr>T2_NOTIF</vt:lpstr>
      <vt:lpstr>CALCU!T2_PLAN_CONS</vt:lpstr>
      <vt:lpstr>T2_PLAN_CONS</vt:lpstr>
      <vt:lpstr>T2_RESERVATIONS</vt:lpstr>
      <vt:lpstr>T2_SIGNATURES</vt:lpstr>
      <vt:lpstr>T2_TAUX_APF</vt:lpstr>
      <vt:lpstr>T2_TVACOL_LOTS</vt:lpstr>
      <vt:lpstr>T2_TVADED_LOTS</vt:lpstr>
      <vt:lpstr>T3_1erSIGN</vt:lpstr>
      <vt:lpstr>T3_AO</vt:lpstr>
      <vt:lpstr>T3_CA</vt:lpstr>
      <vt:lpstr>T3_CAF</vt:lpstr>
      <vt:lpstr>T3_CAF_LOTS</vt:lpstr>
      <vt:lpstr>T3_CAF_POURC</vt:lpstr>
      <vt:lpstr>T3_CAF_TX_TVA</vt:lpstr>
      <vt:lpstr>CALCU!T3_CODE_ENC</vt:lpstr>
      <vt:lpstr>T3_CODE_ENC</vt:lpstr>
      <vt:lpstr>T3_CONST_TABLE</vt:lpstr>
      <vt:lpstr>T3_CONST_TTC</vt:lpstr>
      <vt:lpstr>T3_DATES</vt:lpstr>
      <vt:lpstr>T3_DEB_PLAN</vt:lpstr>
      <vt:lpstr>T3_DEB_PLAN_CONV</vt:lpstr>
      <vt:lpstr>T3_DT</vt:lpstr>
      <vt:lpstr>T3_DUR</vt:lpstr>
      <vt:lpstr>CALCU!T3_ENC_MANUEL</vt:lpstr>
      <vt:lpstr>T3_ENC_MANUEL</vt:lpstr>
      <vt:lpstr>T3_FO</vt:lpstr>
      <vt:lpstr>T3_HC_LOTS</vt:lpstr>
      <vt:lpstr>T3_HC_TAUX</vt:lpstr>
      <vt:lpstr>T3_LI</vt:lpstr>
      <vt:lpstr>T3_MARGE_LOTS</vt:lpstr>
      <vt:lpstr>T3_NBLOTS</vt:lpstr>
      <vt:lpstr>T3_NOTIF</vt:lpstr>
      <vt:lpstr>CALCU!T3_PLAN_CONS</vt:lpstr>
      <vt:lpstr>T3_PLAN_CONS</vt:lpstr>
      <vt:lpstr>T3_RESERVATIONS</vt:lpstr>
      <vt:lpstr>T3_SIGNATURES</vt:lpstr>
      <vt:lpstr>T3_TAUX_APF</vt:lpstr>
      <vt:lpstr>T3_TVACOL_LOTS</vt:lpstr>
      <vt:lpstr>T3_TVADED_LOTS</vt:lpstr>
      <vt:lpstr>T4_1erSIGN</vt:lpstr>
      <vt:lpstr>T4_AO</vt:lpstr>
      <vt:lpstr>T4_CA</vt:lpstr>
      <vt:lpstr>T4_CAF</vt:lpstr>
      <vt:lpstr>T4_CAF_LOTS</vt:lpstr>
      <vt:lpstr>T4_CAF_POURC</vt:lpstr>
      <vt:lpstr>T4_CAF_TX_TVA</vt:lpstr>
      <vt:lpstr>CALCU!T4_CODE_ENC</vt:lpstr>
      <vt:lpstr>T4_CODE_ENC</vt:lpstr>
      <vt:lpstr>T4_CONST_TABLE</vt:lpstr>
      <vt:lpstr>T4_CONST_TTC</vt:lpstr>
      <vt:lpstr>T4_DATES</vt:lpstr>
      <vt:lpstr>T4_DEB_PLAN</vt:lpstr>
      <vt:lpstr>T4_DEB_PLAN_CONV</vt:lpstr>
      <vt:lpstr>T4_DT</vt:lpstr>
      <vt:lpstr>T4_DUR</vt:lpstr>
      <vt:lpstr>CALCU!T4_ENC_MANUEL</vt:lpstr>
      <vt:lpstr>T4_ENC_MANUEL</vt:lpstr>
      <vt:lpstr>T4_FO</vt:lpstr>
      <vt:lpstr>T4_HC_LOTS</vt:lpstr>
      <vt:lpstr>T4_HC_TAUX</vt:lpstr>
      <vt:lpstr>T4_LI</vt:lpstr>
      <vt:lpstr>T4_MARGE_LOTS</vt:lpstr>
      <vt:lpstr>T4_NBLOTS</vt:lpstr>
      <vt:lpstr>T4_NOTIF</vt:lpstr>
      <vt:lpstr>CALCU!T4_PLAN_CONS</vt:lpstr>
      <vt:lpstr>T4_PLAN_CONS</vt:lpstr>
      <vt:lpstr>T4_RESERVATIONS</vt:lpstr>
      <vt:lpstr>T4_SIGNATURES</vt:lpstr>
      <vt:lpstr>T4_TAUX_APF</vt:lpstr>
      <vt:lpstr>T4_TVACOL_LOTS</vt:lpstr>
      <vt:lpstr>T4_TVADED_LOTS</vt:lpstr>
      <vt:lpstr>T5_1erSIGN</vt:lpstr>
      <vt:lpstr>T5_AO</vt:lpstr>
      <vt:lpstr>T5_CA</vt:lpstr>
      <vt:lpstr>T5_CAF</vt:lpstr>
      <vt:lpstr>T5_CAF_LOTS</vt:lpstr>
      <vt:lpstr>T5_CAF_POURC</vt:lpstr>
      <vt:lpstr>T5_CAF_TX_TVA</vt:lpstr>
      <vt:lpstr>CALCU!T5_CODE_ENC</vt:lpstr>
      <vt:lpstr>T5_CODE_ENC</vt:lpstr>
      <vt:lpstr>T5_CONST_TABLE</vt:lpstr>
      <vt:lpstr>T5_CONST_TTC</vt:lpstr>
      <vt:lpstr>T5_DATES</vt:lpstr>
      <vt:lpstr>T5_DEB_PLAN</vt:lpstr>
      <vt:lpstr>T5_DEB_PLAN_CONV</vt:lpstr>
      <vt:lpstr>T5_DT</vt:lpstr>
      <vt:lpstr>T5_DUR</vt:lpstr>
      <vt:lpstr>CALCU!T5_ENC_MANUEL</vt:lpstr>
      <vt:lpstr>T5_ENC_MANUEL</vt:lpstr>
      <vt:lpstr>T5_FO</vt:lpstr>
      <vt:lpstr>T5_HC_LOTS</vt:lpstr>
      <vt:lpstr>T5_HC_TAUX</vt:lpstr>
      <vt:lpstr>T5_LI</vt:lpstr>
      <vt:lpstr>T5_MARGE_LOTS</vt:lpstr>
      <vt:lpstr>T5_NBLOTS</vt:lpstr>
      <vt:lpstr>T5_NOTIF</vt:lpstr>
      <vt:lpstr>CALCU!T5_PLAN_CONS</vt:lpstr>
      <vt:lpstr>T5_PLAN_CONS</vt:lpstr>
      <vt:lpstr>T5_RESERVATIONS</vt:lpstr>
      <vt:lpstr>T5_SIGNATURES</vt:lpstr>
      <vt:lpstr>T5_TAUX_APF</vt:lpstr>
      <vt:lpstr>T5_TVACOL_LOTS</vt:lpstr>
      <vt:lpstr>T5_TVADED_LOTS</vt:lpstr>
      <vt:lpstr>T6_1erSIGN</vt:lpstr>
      <vt:lpstr>T6_AO</vt:lpstr>
      <vt:lpstr>T6_CA</vt:lpstr>
      <vt:lpstr>T6_CAF</vt:lpstr>
      <vt:lpstr>T6_CAF_LOTS</vt:lpstr>
      <vt:lpstr>T6_CAF_POURC</vt:lpstr>
      <vt:lpstr>T6_CAF_TX_TVA</vt:lpstr>
      <vt:lpstr>CALCU!T6_CODE_ENC</vt:lpstr>
      <vt:lpstr>T6_CODE_ENC</vt:lpstr>
      <vt:lpstr>T6_CONST_TABLE</vt:lpstr>
      <vt:lpstr>T6_CONST_TTC</vt:lpstr>
      <vt:lpstr>T6_DATES</vt:lpstr>
      <vt:lpstr>T6_DEB_PLAN</vt:lpstr>
      <vt:lpstr>T6_DEB_PLAN_CONV</vt:lpstr>
      <vt:lpstr>T6_DT</vt:lpstr>
      <vt:lpstr>T6_DUR</vt:lpstr>
      <vt:lpstr>CALCU!T6_ENC_MANUEL</vt:lpstr>
      <vt:lpstr>T6_ENC_MANUEL</vt:lpstr>
      <vt:lpstr>T6_FO</vt:lpstr>
      <vt:lpstr>T6_HC_LOTS</vt:lpstr>
      <vt:lpstr>T6_HC_TAUX</vt:lpstr>
      <vt:lpstr>T6_LI</vt:lpstr>
      <vt:lpstr>T6_MARGE_LOTS</vt:lpstr>
      <vt:lpstr>T6_NBLOTS</vt:lpstr>
      <vt:lpstr>T6_NOTIF</vt:lpstr>
      <vt:lpstr>CALCU!T6_PLAN_CONS</vt:lpstr>
      <vt:lpstr>T6_PLAN_CONS</vt:lpstr>
      <vt:lpstr>T6_RESERVATIONS</vt:lpstr>
      <vt:lpstr>T6_SIGNATURES</vt:lpstr>
      <vt:lpstr>T6_TAUX_APF</vt:lpstr>
      <vt:lpstr>T6_TVACOL_LOTS</vt:lpstr>
      <vt:lpstr>T6_TVADED_LOTS</vt:lpstr>
      <vt:lpstr>TABLEAU_RECAP</vt:lpstr>
      <vt:lpstr>TADIHT</vt:lpstr>
      <vt:lpstr>CALCU!TAUX_AP</vt:lpstr>
      <vt:lpstr>TAUX_AP</vt:lpstr>
      <vt:lpstr>TAUX_APF</vt:lpstr>
      <vt:lpstr>TAUX_FF_PF_TABLE</vt:lpstr>
      <vt:lpstr>TAUX_TRVX</vt:lpstr>
      <vt:lpstr>TAUXTVA</vt:lpstr>
      <vt:lpstr>TERRHT</vt:lpstr>
      <vt:lpstr>TLEHT</vt:lpstr>
      <vt:lpstr>TOT_DEP</vt:lpstr>
      <vt:lpstr>TOT_REC</vt:lpstr>
      <vt:lpstr>TOT1_2HT</vt:lpstr>
      <vt:lpstr>TOT1À4HT</vt:lpstr>
      <vt:lpstr>TOT1À5HT</vt:lpstr>
      <vt:lpstr>TOT1À5TTC</vt:lpstr>
      <vt:lpstr>TOT1À6HT</vt:lpstr>
      <vt:lpstr>TOT1HT</vt:lpstr>
      <vt:lpstr>TOT2HT</vt:lpstr>
      <vt:lpstr>TOT3_4HT</vt:lpstr>
      <vt:lpstr>TOT5HT</vt:lpstr>
      <vt:lpstr>TOT6HT</vt:lpstr>
      <vt:lpstr>TOT7HT</vt:lpstr>
      <vt:lpstr>TRDHT</vt:lpstr>
      <vt:lpstr>TRESO_APRES</vt:lpstr>
      <vt:lpstr>TRESORERIE</vt:lpstr>
      <vt:lpstr>TVA_COL</vt:lpstr>
      <vt:lpstr>TVA_DED</vt:lpstr>
      <vt:lpstr>BILAN!TVA_RESID</vt:lpstr>
      <vt:lpstr>TVA_RESID</vt:lpstr>
      <vt:lpstr>CALCU!TX_TVA_COM</vt:lpstr>
      <vt:lpstr>TX_TVA_COM</vt:lpstr>
      <vt:lpstr>VER</vt:lpstr>
      <vt:lpstr>VERS_SAISIE</vt:lpstr>
      <vt:lpstr>VERS_STANDART</vt:lpstr>
      <vt:lpstr>CALCU!VRD</vt:lpstr>
      <vt:lpstr>VRD</vt:lpstr>
      <vt:lpstr>VRDEHT</vt:lpstr>
      <vt:lpstr>VRDHT</vt:lpstr>
      <vt:lpstr>VRDIHT</vt:lpstr>
      <vt:lpstr>BILAN!Zone_d_impression</vt:lpstr>
      <vt:lpstr>CALCU!Zone_d_impression</vt:lpstr>
      <vt:lpstr>TRESO!Zone_d_impression</vt:lpstr>
      <vt:lpstr>ZONE_MSG1</vt:lpstr>
      <vt:lpstr>ZONE_MSG2</vt:lpstr>
    </vt:vector>
  </TitlesOfParts>
  <Company>Groupe George 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Groupe George V</dc:creator>
  <cp:lastModifiedBy>Utilisateur</cp:lastModifiedBy>
  <cp:lastPrinted>2018-12-20T09:27:40Z</cp:lastPrinted>
  <dcterms:created xsi:type="dcterms:W3CDTF">1997-09-09T08:59:43Z</dcterms:created>
  <dcterms:modified xsi:type="dcterms:W3CDTF">2021-12-14T15:59:38Z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0x010100D868FFFF48BA334FA513C4CB25631C50</vt:lpwstr>
  </property>
</Properties>
</file>